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1500" yWindow="690" windowWidth="5070" windowHeight="5850"/>
  </bookViews>
  <sheets>
    <sheet name="Cover Page" sheetId="8" r:id="rId1"/>
    <sheet name="Analysis" sheetId="3" r:id="rId2"/>
    <sheet name="Data" sheetId="2" r:id="rId3"/>
    <sheet name="Reference" sheetId="7" r:id="rId4"/>
  </sheets>
  <definedNames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P23" i="3" l="1"/>
  <c r="AD23" i="3" l="1"/>
  <c r="L23" i="3"/>
  <c r="K6" i="2" l="1"/>
  <c r="K7" i="2"/>
  <c r="K8" i="2"/>
  <c r="K9" i="2"/>
  <c r="K5" i="2"/>
  <c r="H6" i="2"/>
  <c r="H7" i="2"/>
  <c r="H8" i="2"/>
  <c r="H9" i="2"/>
  <c r="H5" i="2"/>
  <c r="G6" i="2"/>
  <c r="G7" i="2"/>
  <c r="G8" i="2"/>
  <c r="G9" i="2"/>
  <c r="G5" i="2"/>
  <c r="J5" i="2"/>
  <c r="J6" i="2" s="1"/>
  <c r="J7" i="2" s="1"/>
  <c r="J8" i="2" s="1"/>
  <c r="J9" i="2" s="1"/>
  <c r="I6" i="2"/>
  <c r="I7" i="2"/>
  <c r="I8" i="2"/>
  <c r="I9" i="2"/>
  <c r="I5" i="2"/>
  <c r="B14" i="2" l="1"/>
  <c r="B15" i="2" s="1"/>
  <c r="P14" i="3" s="1"/>
  <c r="L14" i="3"/>
  <c r="D9" i="3" l="1"/>
  <c r="U11" i="3" s="1"/>
  <c r="Y23" i="3" s="1"/>
  <c r="Y14" i="3" l="1"/>
  <c r="D7" i="3"/>
  <c r="S11" i="3" s="1"/>
  <c r="W23" i="3" s="1"/>
  <c r="D8" i="3"/>
  <c r="T11" i="3" s="1"/>
  <c r="X23" i="3" s="1"/>
  <c r="D5" i="3"/>
  <c r="D6" i="3"/>
  <c r="R11" i="3" s="1"/>
  <c r="V23" i="3" s="1"/>
  <c r="AD14" i="3"/>
  <c r="Q23" i="3" l="1"/>
  <c r="Z23" i="3" s="1"/>
  <c r="Q14" i="3"/>
  <c r="V14" i="3"/>
  <c r="W14" i="3"/>
  <c r="Q11" i="3"/>
  <c r="X14" i="3"/>
  <c r="E5" i="3"/>
  <c r="AA23" i="3" l="1"/>
  <c r="AC23" i="3" s="1"/>
  <c r="AE23" i="3" s="1"/>
  <c r="Z14" i="3"/>
  <c r="AA14" i="3" s="1"/>
  <c r="AC14" i="3" l="1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AE14" i="3" l="1"/>
  <c r="I20" i="7"/>
  <c r="I28" i="7"/>
  <c r="AF14" i="3" l="1"/>
  <c r="AF23" i="3"/>
</calcChain>
</file>

<file path=xl/sharedStrings.xml><?xml version="1.0" encoding="utf-8"?>
<sst xmlns="http://schemas.openxmlformats.org/spreadsheetml/2006/main" count="546" uniqueCount="131">
  <si>
    <t>Financial</t>
  </si>
  <si>
    <t>Frequency</t>
  </si>
  <si>
    <t>Baseline Residual Risk</t>
  </si>
  <si>
    <t>Original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</si>
  <si>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</si>
  <si>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</si>
  <si>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</si>
  <si>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</si>
  <si>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</si>
  <si>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</si>
  <si>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</si>
  <si>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</si>
  <si>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</si>
  <si>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Annuity</t>
  </si>
  <si>
    <t>New/Existing</t>
  </si>
  <si>
    <t>Life of the Project</t>
  </si>
  <si>
    <t>Frequency %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</si>
  <si>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</si>
  <si>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</si>
  <si>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</si>
  <si>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</si>
  <si>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</si>
  <si>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</si>
  <si>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</si>
  <si>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</si>
  <si>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</si>
  <si>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</si>
  <si>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</si>
  <si>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</si>
  <si>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</si>
  <si>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</si>
  <si>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</si>
  <si>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</si>
  <si>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</si>
  <si>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</si>
  <si>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</si>
  <si>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</si>
  <si>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</si>
  <si>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</si>
  <si>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</si>
  <si>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</si>
  <si>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</si>
  <si>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</si>
  <si>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</si>
  <si>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</si>
  <si>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</si>
  <si>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</si>
  <si>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</si>
  <si>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</si>
  <si>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</si>
  <si>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</si>
  <si>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</si>
  <si>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</si>
  <si>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</si>
  <si>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</si>
  <si>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</si>
  <si>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</si>
  <si>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</si>
  <si>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</si>
  <si>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</si>
  <si>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</si>
  <si>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</si>
  <si>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</si>
  <si>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</si>
  <si>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B1</t>
  </si>
  <si>
    <t>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</si>
  <si>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</si>
  <si>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</si>
  <si>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</si>
  <si>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</si>
  <si>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</si>
  <si>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</si>
  <si>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</si>
  <si>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</si>
  <si>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</si>
  <si>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Description</t>
  </si>
  <si>
    <t/>
  </si>
  <si>
    <t>Capital Cost (2017-2019)</t>
  </si>
  <si>
    <t>OM Cost (2017-2019 average)</t>
  </si>
  <si>
    <t>Security department follow-up and investigation on employee reports</t>
  </si>
  <si>
    <t>Investigations</t>
  </si>
  <si>
    <t>Security contractor presence at strategic locations</t>
  </si>
  <si>
    <t>Contract Security</t>
  </si>
  <si>
    <t>Facility modifications (e.g. - bulletproof glass at Branch Offices, card access systems, door &amp; gate locking systems, safes, etc.)</t>
  </si>
  <si>
    <t>Physical Security Systems</t>
  </si>
  <si>
    <t>Supervisor/employee mandatory Workplace Violence training</t>
  </si>
  <si>
    <t>Employee awareness (e.g. - security alerts, gang awareness, emergency response planning, etc.)</t>
  </si>
  <si>
    <t>Employee Awareness</t>
  </si>
  <si>
    <t>Hostile Intruder Training</t>
  </si>
  <si>
    <t>Workplace Violence Mitigation Team</t>
  </si>
  <si>
    <t>New-hire screening processes</t>
  </si>
  <si>
    <t>Employee Assistance Program(s)</t>
  </si>
  <si>
    <t>D3 - Incident Management System</t>
  </si>
  <si>
    <t>Social Media Monitoring</t>
  </si>
  <si>
    <t>Risk Management Program</t>
  </si>
  <si>
    <t>Year</t>
  </si>
  <si>
    <t>SDGE events</t>
  </si>
  <si>
    <t>SCG events</t>
  </si>
  <si>
    <t>National events</t>
  </si>
  <si>
    <t>National population</t>
  </si>
  <si>
    <t xml:space="preserve"> SDGE workforce</t>
  </si>
  <si>
    <t xml:space="preserve"> SCG workforce</t>
  </si>
  <si>
    <t>SDGE rate</t>
  </si>
  <si>
    <t>SCG Rate</t>
  </si>
  <si>
    <t>National rate</t>
  </si>
  <si>
    <t>Avg</t>
  </si>
  <si>
    <t>Corporate events included: assault, robbery, indicent exposure, and workplace violence</t>
  </si>
  <si>
    <t>National events included: robbery, rape/sexual assault, simple assault, and aggravated assault</t>
  </si>
  <si>
    <t>Data from bureau of justice statistics</t>
  </si>
  <si>
    <t>P1</t>
  </si>
  <si>
    <t>New programs</t>
  </si>
  <si>
    <t>New</t>
  </si>
  <si>
    <t>Corporate rate</t>
  </si>
  <si>
    <t xml:space="preserve"> % of above to attribute to proposed programs</t>
  </si>
  <si>
    <t xml:space="preserve"> Baseline rate to compare against (highest of national average and max operating company rate)</t>
  </si>
  <si>
    <t xml:space="preserve"> Victimization rate improvement attributable to baseline programs</t>
  </si>
  <si>
    <t>Rationale: the starting point is either the environment outside corporate facilities or corporate facilities if these were less safe statistically speaking</t>
  </si>
  <si>
    <t>Adjustment Factor</t>
  </si>
  <si>
    <t>Score Category</t>
  </si>
  <si>
    <t>Controls</t>
  </si>
  <si>
    <t>Adjusted Baseline</t>
  </si>
  <si>
    <t>RSE</t>
  </si>
  <si>
    <t>Rationale</t>
  </si>
  <si>
    <t>New Score (for life of project)</t>
  </si>
  <si>
    <t>Workplace Violence Training</t>
  </si>
  <si>
    <t>2016 Risk Assessment Mitigation Phase</t>
  </si>
  <si>
    <t>Investigation 16-10-015</t>
  </si>
  <si>
    <t>Risk Spend Efficiency Workpapers to</t>
  </si>
  <si>
    <t>January 2017</t>
  </si>
  <si>
    <t>Workplace Violence</t>
  </si>
  <si>
    <t>(Chapter SDG&amp;E-9-WP-RSE)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</si>
</sst>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21" fillId="9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2" fillId="20" borderId="0" applyNumberFormat="0" applyBorder="0" applyAlignment="0" applyProtection="0"/>
    <xf numFmtId="0" fontId="23" fillId="24" borderId="11" applyNumberFormat="0" applyAlignment="0" applyProtection="0"/>
    <xf numFmtId="0" fontId="24" fillId="17" borderId="12" applyNumberFormat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5" fillId="13" borderId="0" applyNumberFormat="0" applyBorder="0" applyAlignment="0" applyProtection="0"/>
    <xf numFmtId="0" fontId="15" fillId="2" borderId="0" applyNumberFormat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11" applyNumberFormat="0" applyAlignment="0" applyProtection="0"/>
    <xf numFmtId="0" fontId="30" fillId="0" borderId="16" applyNumberFormat="0" applyFill="0" applyAlignment="0" applyProtection="0"/>
    <xf numFmtId="0" fontId="30" fillId="21" borderId="0" applyNumberFormat="0" applyBorder="0" applyAlignment="0" applyProtection="0"/>
    <xf numFmtId="0" fontId="31" fillId="28" borderId="0"/>
    <xf numFmtId="0" fontId="32" fillId="0" borderId="0"/>
    <xf numFmtId="0" fontId="7" fillId="0" borderId="0"/>
    <xf numFmtId="0" fontId="5" fillId="0" borderId="0"/>
    <xf numFmtId="0" fontId="33" fillId="0" borderId="0"/>
    <xf numFmtId="0" fontId="31" fillId="28" borderId="0"/>
    <xf numFmtId="0" fontId="33" fillId="0" borderId="0"/>
    <xf numFmtId="0" fontId="7" fillId="0" borderId="0"/>
    <xf numFmtId="0" fontId="34" fillId="0" borderId="0"/>
    <xf numFmtId="0" fontId="7" fillId="0" borderId="0"/>
    <xf numFmtId="0" fontId="31" fillId="28" borderId="0"/>
    <xf numFmtId="0" fontId="31" fillId="28" borderId="0"/>
    <xf numFmtId="0" fontId="7" fillId="0" borderId="0"/>
    <xf numFmtId="0" fontId="31" fillId="28" borderId="0"/>
    <xf numFmtId="0" fontId="31" fillId="28" borderId="0"/>
    <xf numFmtId="0" fontId="31" fillId="28" borderId="0"/>
    <xf numFmtId="0" fontId="31" fillId="28" borderId="0"/>
    <xf numFmtId="0" fontId="31" fillId="20" borderId="11" applyNumberFormat="0" applyFont="0" applyAlignment="0" applyProtection="0"/>
    <xf numFmtId="0" fontId="1" fillId="3" borderId="10" applyNumberFormat="0" applyFont="0" applyAlignment="0" applyProtection="0"/>
    <xf numFmtId="0" fontId="35" fillId="24" borderId="17" applyNumberFormat="0" applyAlignment="0" applyProtection="0"/>
    <xf numFmtId="4" fontId="31" fillId="29" borderId="11" applyNumberFormat="0" applyProtection="0">
      <alignment vertical="center"/>
    </xf>
    <xf numFmtId="4" fontId="31" fillId="29" borderId="11" applyNumberFormat="0" applyProtection="0">
      <alignment vertical="center"/>
    </xf>
    <xf numFmtId="4" fontId="36" fillId="30" borderId="11" applyNumberFormat="0" applyProtection="0">
      <alignment vertical="center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0" fontId="37" fillId="29" borderId="18" applyNumberFormat="0" applyProtection="0">
      <alignment horizontal="left" vertical="top" indent="1"/>
    </xf>
    <xf numFmtId="4" fontId="31" fillId="31" borderId="11" applyNumberFormat="0" applyProtection="0">
      <alignment horizontal="left" vertical="center" indent="1"/>
    </xf>
    <xf numFmtId="4" fontId="31" fillId="31" borderId="11" applyNumberFormat="0" applyProtection="0">
      <alignment horizontal="left" vertical="center" indent="1"/>
    </xf>
    <xf numFmtId="4" fontId="31" fillId="32" borderId="11" applyNumberFormat="0" applyProtection="0">
      <alignment horizontal="right" vertical="center"/>
    </xf>
    <xf numFmtId="4" fontId="31" fillId="32" borderId="11" applyNumberFormat="0" applyProtection="0">
      <alignment horizontal="right" vertical="center"/>
    </xf>
    <xf numFmtId="4" fontId="31" fillId="33" borderId="11" applyNumberFormat="0" applyProtection="0">
      <alignment horizontal="right" vertical="center"/>
    </xf>
    <xf numFmtId="4" fontId="31" fillId="33" borderId="11" applyNumberFormat="0" applyProtection="0">
      <alignment horizontal="right" vertical="center"/>
    </xf>
    <xf numFmtId="4" fontId="31" fillId="34" borderId="19" applyNumberFormat="0" applyProtection="0">
      <alignment horizontal="right" vertical="center"/>
    </xf>
    <xf numFmtId="4" fontId="31" fillId="34" borderId="19" applyNumberFormat="0" applyProtection="0">
      <alignment horizontal="right" vertical="center"/>
    </xf>
    <xf numFmtId="4" fontId="31" fillId="35" borderId="11" applyNumberFormat="0" applyProtection="0">
      <alignment horizontal="right" vertical="center"/>
    </xf>
    <xf numFmtId="4" fontId="31" fillId="35" borderId="11" applyNumberFormat="0" applyProtection="0">
      <alignment horizontal="right" vertical="center"/>
    </xf>
    <xf numFmtId="4" fontId="31" fillId="36" borderId="11" applyNumberFormat="0" applyProtection="0">
      <alignment horizontal="right" vertical="center"/>
    </xf>
    <xf numFmtId="4" fontId="31" fillId="36" borderId="11" applyNumberFormat="0" applyProtection="0">
      <alignment horizontal="right" vertical="center"/>
    </xf>
    <xf numFmtId="4" fontId="31" fillId="37" borderId="11" applyNumberFormat="0" applyProtection="0">
      <alignment horizontal="right" vertical="center"/>
    </xf>
    <xf numFmtId="4" fontId="31" fillId="37" borderId="11" applyNumberFormat="0" applyProtection="0">
      <alignment horizontal="right" vertical="center"/>
    </xf>
    <xf numFmtId="4" fontId="31" fillId="38" borderId="11" applyNumberFormat="0" applyProtection="0">
      <alignment horizontal="right" vertical="center"/>
    </xf>
    <xf numFmtId="4" fontId="31" fillId="38" borderId="11" applyNumberFormat="0" applyProtection="0">
      <alignment horizontal="right" vertical="center"/>
    </xf>
    <xf numFmtId="4" fontId="31" fillId="39" borderId="11" applyNumberFormat="0" applyProtection="0">
      <alignment horizontal="right" vertical="center"/>
    </xf>
    <xf numFmtId="4" fontId="31" fillId="39" borderId="11" applyNumberFormat="0" applyProtection="0">
      <alignment horizontal="right" vertical="center"/>
    </xf>
    <xf numFmtId="4" fontId="31" fillId="40" borderId="11" applyNumberFormat="0" applyProtection="0">
      <alignment horizontal="right" vertical="center"/>
    </xf>
    <xf numFmtId="4" fontId="31" fillId="40" borderId="11" applyNumberFormat="0" applyProtection="0">
      <alignment horizontal="right" vertical="center"/>
    </xf>
    <xf numFmtId="4" fontId="31" fillId="41" borderId="19" applyNumberFormat="0" applyProtection="0">
      <alignment horizontal="left" vertical="center" indent="1"/>
    </xf>
    <xf numFmtId="4" fontId="31" fillId="41" borderId="19" applyNumberFormat="0" applyProtection="0">
      <alignment horizontal="left" vertical="center" indent="1"/>
    </xf>
    <xf numFmtId="4" fontId="7" fillId="42" borderId="19" applyNumberFormat="0" applyProtection="0">
      <alignment horizontal="left" vertical="center" indent="1"/>
    </xf>
    <xf numFmtId="4" fontId="7" fillId="42" borderId="19" applyNumberFormat="0" applyProtection="0">
      <alignment horizontal="left" vertical="center" indent="1"/>
    </xf>
    <xf numFmtId="4" fontId="31" fillId="43" borderId="11" applyNumberFormat="0" applyProtection="0">
      <alignment horizontal="right" vertical="center"/>
    </xf>
    <xf numFmtId="4" fontId="31" fillId="43" borderId="11" applyNumberFormat="0" applyProtection="0">
      <alignment horizontal="right" vertical="center"/>
    </xf>
    <xf numFmtId="4" fontId="31" fillId="44" borderId="19" applyNumberFormat="0" applyProtection="0">
      <alignment horizontal="left" vertical="center" indent="1"/>
    </xf>
    <xf numFmtId="4" fontId="31" fillId="44" borderId="19" applyNumberFormat="0" applyProtection="0">
      <alignment horizontal="left" vertical="center" indent="1"/>
    </xf>
    <xf numFmtId="4" fontId="31" fillId="43" borderId="19" applyNumberFormat="0" applyProtection="0">
      <alignment horizontal="left" vertical="center" indent="1"/>
    </xf>
    <xf numFmtId="4" fontId="31" fillId="43" borderId="19" applyNumberFormat="0" applyProtection="0">
      <alignment horizontal="left" vertical="center" indent="1"/>
    </xf>
    <xf numFmtId="0" fontId="31" fillId="45" borderId="11" applyNumberFormat="0" applyProtection="0">
      <alignment horizontal="left" vertical="center" indent="1"/>
    </xf>
    <xf numFmtId="0" fontId="31" fillId="45" borderId="11" applyNumberFormat="0" applyProtection="0">
      <alignment horizontal="left" vertical="center" indent="1"/>
    </xf>
    <xf numFmtId="0" fontId="31" fillId="42" borderId="18" applyNumberFormat="0" applyProtection="0">
      <alignment horizontal="left" vertical="top" indent="1"/>
    </xf>
    <xf numFmtId="0" fontId="31" fillId="46" borderId="11" applyNumberFormat="0" applyProtection="0">
      <alignment horizontal="left" vertical="center" indent="1"/>
    </xf>
    <xf numFmtId="0" fontId="31" fillId="46" borderId="11" applyNumberFormat="0" applyProtection="0">
      <alignment horizontal="left" vertical="center" indent="1"/>
    </xf>
    <xf numFmtId="0" fontId="31" fillId="43" borderId="18" applyNumberFormat="0" applyProtection="0">
      <alignment horizontal="left" vertical="top" indent="1"/>
    </xf>
    <xf numFmtId="0" fontId="31" fillId="47" borderId="11" applyNumberFormat="0" applyProtection="0">
      <alignment horizontal="left" vertical="center" indent="1"/>
    </xf>
    <xf numFmtId="0" fontId="31" fillId="47" borderId="11" applyNumberFormat="0" applyProtection="0">
      <alignment horizontal="left" vertical="center" indent="1"/>
    </xf>
    <xf numFmtId="0" fontId="31" fillId="47" borderId="18" applyNumberFormat="0" applyProtection="0">
      <alignment horizontal="left" vertical="top" indent="1"/>
    </xf>
    <xf numFmtId="0" fontId="31" fillId="44" borderId="11" applyNumberFormat="0" applyProtection="0">
      <alignment horizontal="left" vertical="center" indent="1"/>
    </xf>
    <xf numFmtId="0" fontId="31" fillId="44" borderId="11" applyNumberFormat="0" applyProtection="0">
      <alignment horizontal="left" vertical="center" indent="1"/>
    </xf>
    <xf numFmtId="0" fontId="31" fillId="44" borderId="18" applyNumberFormat="0" applyProtection="0">
      <alignment horizontal="left" vertical="top" indent="1"/>
    </xf>
    <xf numFmtId="0" fontId="31" fillId="48" borderId="20" applyNumberFormat="0">
      <protection locked="0"/>
    </xf>
    <xf numFmtId="0" fontId="38" fillId="42" borderId="21" applyBorder="0"/>
    <xf numFmtId="4" fontId="39" fillId="49" borderId="18" applyNumberFormat="0" applyProtection="0">
      <alignment vertical="center"/>
    </xf>
    <xf numFmtId="4" fontId="36" fillId="50" borderId="1" applyNumberFormat="0" applyProtection="0">
      <alignment vertical="center"/>
    </xf>
    <xf numFmtId="4" fontId="39" fillId="45" borderId="18" applyNumberFormat="0" applyProtection="0">
      <alignment horizontal="left" vertical="center" indent="1"/>
    </xf>
    <xf numFmtId="0" fontId="39" fillId="49" borderId="18" applyNumberFormat="0" applyProtection="0">
      <alignment horizontal="left" vertical="top" indent="1"/>
    </xf>
    <xf numFmtId="4" fontId="31" fillId="0" borderId="11" applyNumberFormat="0" applyProtection="0">
      <alignment horizontal="right" vertical="center"/>
    </xf>
    <xf numFmtId="4" fontId="31" fillId="0" borderId="11" applyNumberFormat="0" applyProtection="0">
      <alignment horizontal="right" vertical="center"/>
    </xf>
    <xf numFmtId="4" fontId="36" fillId="51" borderId="11" applyNumberFormat="0" applyProtection="0">
      <alignment horizontal="right" vertical="center"/>
    </xf>
    <xf numFmtId="4" fontId="31" fillId="31" borderId="11" applyNumberFormat="0" applyProtection="0">
      <alignment horizontal="left" vertical="center" indent="1"/>
    </xf>
    <xf numFmtId="4" fontId="31" fillId="31" borderId="11" applyNumberFormat="0" applyProtection="0">
      <alignment horizontal="left" vertical="center" indent="1"/>
    </xf>
    <xf numFmtId="0" fontId="39" fillId="43" borderId="18" applyNumberFormat="0" applyProtection="0">
      <alignment horizontal="left" vertical="top" indent="1"/>
    </xf>
    <xf numFmtId="4" fontId="40" fillId="52" borderId="19" applyNumberFormat="0" applyProtection="0">
      <alignment horizontal="left" vertical="center" indent="1"/>
    </xf>
    <xf numFmtId="0" fontId="31" fillId="53" borderId="1"/>
    <xf numFmtId="0" fontId="31" fillId="53" borderId="1"/>
    <xf numFmtId="4" fontId="41" fillId="48" borderId="11" applyNumberFormat="0" applyProtection="0">
      <alignment horizontal="right" vertical="center"/>
    </xf>
    <xf numFmtId="0" fontId="42" fillId="0" borderId="0" applyNumberFormat="0" applyFill="0" applyBorder="0" applyAlignment="0" applyProtection="0"/>
    <xf numFmtId="0" fontId="1" fillId="54" borderId="7">
      <alignment horizontal="center" vertical="center" wrapText="1"/>
    </xf>
    <xf numFmtId="0" fontId="25" fillId="0" borderId="22" applyNumberFormat="0" applyFill="0" applyAlignment="0" applyProtection="0"/>
    <xf numFmtId="0" fontId="43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1" xfId="0" applyFill="1" applyBorder="1"/>
    <xf numFmtId="9" fontId="4" fillId="0" borderId="1" xfId="2" applyFont="1" applyFill="1" applyBorder="1" applyAlignment="1">
      <alignment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165" fontId="3" fillId="0" borderId="4" xfId="3" applyNumberFormat="1" applyFont="1" applyFill="1" applyBorder="1"/>
    <xf numFmtId="165" fontId="3" fillId="0" borderId="4" xfId="0" applyNumberFormat="1" applyFont="1" applyFill="1" applyBorder="1"/>
    <xf numFmtId="169" fontId="3" fillId="0" borderId="4" xfId="2" applyNumberFormat="1" applyFont="1" applyFill="1" applyBorder="1"/>
    <xf numFmtId="167" fontId="3" fillId="0" borderId="4" xfId="0" applyNumberFormat="1" applyFont="1" applyFill="1" applyBorder="1"/>
    <xf numFmtId="171" fontId="3" fillId="0" borderId="4" xfId="0" applyNumberFormat="1" applyFont="1" applyFill="1" applyBorder="1"/>
    <xf numFmtId="43" fontId="3" fillId="0" borderId="4" xfId="3" applyFont="1" applyFill="1" applyBorder="1"/>
    <xf numFmtId="0" fontId="3" fillId="0" borderId="4" xfId="3" applyNumberFormat="1" applyFont="1" applyFill="1" applyBorder="1"/>
    <xf numFmtId="2" fontId="3" fillId="0" borderId="4" xfId="0" applyNumberFormat="1" applyFont="1" applyFill="1" applyBorder="1"/>
    <xf numFmtId="0" fontId="11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/>
    <xf numFmtId="171" fontId="3" fillId="0" borderId="0" xfId="0" applyNumberFormat="1" applyFont="1" applyFill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166" fontId="3" fillId="0" borderId="0" xfId="0" applyNumberFormat="1" applyFont="1" applyFill="1"/>
    <xf numFmtId="0" fontId="3" fillId="0" borderId="0" xfId="0" quotePrefix="1" applyFont="1" applyFill="1"/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9" fontId="11" fillId="0" borderId="1" xfId="2" applyFont="1" applyFill="1" applyBorder="1" applyAlignment="1">
      <alignment horizontal="center"/>
    </xf>
    <xf numFmtId="171" fontId="11" fillId="0" borderId="0" xfId="0" applyNumberFormat="1" applyFont="1" applyFill="1"/>
    <xf numFmtId="0" fontId="3" fillId="0" borderId="0" xfId="0" applyFont="1" applyFill="1" applyAlignment="1">
      <alignment wrapText="1"/>
    </xf>
    <xf numFmtId="171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3" fillId="0" borderId="4" xfId="1" applyNumberFormat="1" applyFont="1" applyFill="1" applyBorder="1"/>
    <xf numFmtId="0" fontId="3" fillId="0" borderId="4" xfId="0" applyFont="1" applyFill="1" applyBorder="1"/>
    <xf numFmtId="0" fontId="3" fillId="0" borderId="4" xfId="0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0" fontId="3" fillId="0" borderId="7" xfId="0" applyFont="1" applyFill="1" applyBorder="1" applyAlignment="1">
      <alignment wrapText="1"/>
    </xf>
    <xf numFmtId="164" fontId="3" fillId="0" borderId="0" xfId="1" applyNumberFormat="1" applyFont="1" applyFill="1" applyBorder="1"/>
    <xf numFmtId="2" fontId="3" fillId="0" borderId="0" xfId="0" applyNumberFormat="1" applyFont="1" applyFill="1" applyBorder="1"/>
    <xf numFmtId="0" fontId="3" fillId="0" borderId="0" xfId="0" applyNumberFormat="1" applyFont="1" applyFill="1" applyBorder="1"/>
    <xf numFmtId="165" fontId="3" fillId="0" borderId="0" xfId="3" applyNumberFormat="1" applyFont="1" applyFill="1" applyBorder="1"/>
    <xf numFmtId="165" fontId="3" fillId="0" borderId="0" xfId="0" applyNumberFormat="1" applyFont="1" applyFill="1" applyBorder="1"/>
    <xf numFmtId="169" fontId="3" fillId="0" borderId="0" xfId="2" applyNumberFormat="1" applyFont="1" applyFill="1" applyBorder="1"/>
    <xf numFmtId="167" fontId="3" fillId="0" borderId="0" xfId="0" applyNumberFormat="1" applyFont="1" applyFill="1" applyBorder="1"/>
    <xf numFmtId="171" fontId="3" fillId="0" borderId="0" xfId="0" applyNumberFormat="1" applyFont="1" applyFill="1" applyBorder="1"/>
    <xf numFmtId="43" fontId="3" fillId="0" borderId="0" xfId="3" applyFont="1" applyFill="1" applyBorder="1"/>
    <xf numFmtId="0" fontId="3" fillId="0" borderId="0" xfId="3" applyNumberFormat="1" applyFont="1" applyFill="1" applyBorder="1"/>
    <xf numFmtId="44" fontId="3" fillId="0" borderId="8" xfId="1" applyFont="1" applyFill="1" applyBorder="1"/>
    <xf numFmtId="43" fontId="3" fillId="0" borderId="1" xfId="3" applyFont="1" applyFill="1" applyBorder="1"/>
    <xf numFmtId="168" fontId="3" fillId="0" borderId="1" xfId="0" applyNumberFormat="1" applyFont="1" applyFill="1" applyBorder="1"/>
    <xf numFmtId="44" fontId="3" fillId="0" borderId="9" xfId="1" applyFont="1" applyFill="1" applyBorder="1"/>
    <xf numFmtId="168" fontId="3" fillId="0" borderId="4" xfId="0" applyNumberFormat="1" applyFont="1" applyFill="1" applyBorder="1"/>
    <xf numFmtId="168" fontId="3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173" fontId="3" fillId="0" borderId="0" xfId="0" applyNumberFormat="1" applyFont="1" applyFill="1" applyAlignment="1">
      <alignment horizontal="center"/>
    </xf>
    <xf numFmtId="173" fontId="3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9" fontId="3" fillId="0" borderId="0" xfId="0" applyNumberFormat="1" applyFont="1" applyFill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17" fontId="20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9" fontId="11" fillId="0" borderId="1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textRotation="90" wrapText="1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86" customWidth="1"/>
  </cols>
  <sheetData>
    <row r="1" spans="1:1" ht="34.5" x14ac:dyDescent="0.25">
      <c r="A1" s="80"/>
    </row>
    <row r="2" spans="1:1" ht="34.5" x14ac:dyDescent="0.25">
      <c r="A2" s="80"/>
    </row>
    <row r="3" spans="1:1" ht="34.5" x14ac:dyDescent="0.25">
      <c r="A3" s="81" t="s">
        <v>125</v>
      </c>
    </row>
    <row r="4" spans="1:1" ht="6" customHeight="1" x14ac:dyDescent="0.25">
      <c r="A4" s="81"/>
    </row>
    <row r="5" spans="1:1" ht="34.5" x14ac:dyDescent="0.25">
      <c r="A5" s="82" t="s">
        <v>126</v>
      </c>
    </row>
    <row r="6" spans="1:1" ht="6" customHeight="1" x14ac:dyDescent="0.25">
      <c r="A6" s="81"/>
    </row>
    <row r="7" spans="1:1" ht="34.5" x14ac:dyDescent="0.25">
      <c r="A7" s="81" t="s">
        <v>127</v>
      </c>
    </row>
    <row r="8" spans="1:1" ht="6" customHeight="1" x14ac:dyDescent="0.25">
      <c r="A8" s="81"/>
    </row>
    <row r="9" spans="1:1" ht="34.5" x14ac:dyDescent="0.25">
      <c r="A9" s="83" t="s">
        <v>129</v>
      </c>
    </row>
    <row r="10" spans="1:1" ht="6" customHeight="1" x14ac:dyDescent="0.25">
      <c r="A10" s="81"/>
    </row>
    <row r="11" spans="1:1" ht="34.5" x14ac:dyDescent="0.25">
      <c r="A11" s="81" t="s">
        <v>130</v>
      </c>
    </row>
    <row r="12" spans="1:1" ht="31.5" customHeight="1" x14ac:dyDescent="0.25">
      <c r="A12" s="84"/>
    </row>
    <row r="13" spans="1:1" ht="18.75" x14ac:dyDescent="0.25">
      <c r="A13" s="85" t="s">
        <v>128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25"/>
  <sheetViews>
    <sheetView zoomScale="85" zoomScaleNormal="85" workbookViewId="0"/>
  </sheetViews>
  <sheetFormatPr defaultRowHeight="15" x14ac:dyDescent="0.25"/>
  <cols>
    <col min="1" max="1" width="5.7109375" style="29" customWidth="1"/>
    <col min="2" max="2" width="14.5703125" style="29" customWidth="1"/>
    <col min="3" max="3" width="28.28515625" style="29" customWidth="1"/>
    <col min="4" max="4" width="11.7109375" style="29" customWidth="1"/>
    <col min="5" max="5" width="9.140625" style="29" customWidth="1"/>
    <col min="6" max="6" width="2.28515625" style="29" customWidth="1"/>
    <col min="7" max="7" width="9.5703125" style="29" bestFit="1" customWidth="1"/>
    <col min="8" max="9" width="24.42578125" style="29" customWidth="1"/>
    <col min="10" max="10" width="12.28515625" style="29" bestFit="1" customWidth="1"/>
    <col min="11" max="11" width="11.5703125" style="29" bestFit="1" customWidth="1"/>
    <col min="12" max="12" width="11.5703125" style="29" hidden="1" customWidth="1"/>
    <col min="13" max="13" width="12.85546875" style="29" bestFit="1" customWidth="1"/>
    <col min="14" max="15" width="10.28515625" style="29" customWidth="1"/>
    <col min="16" max="16" width="12.85546875" style="29" bestFit="1" customWidth="1"/>
    <col min="17" max="17" width="9.7109375" style="29" bestFit="1" customWidth="1"/>
    <col min="18" max="18" width="6.5703125" style="29" hidden="1" customWidth="1"/>
    <col min="19" max="19" width="10" style="29" hidden="1" customWidth="1"/>
    <col min="20" max="20" width="11.42578125" style="29" hidden="1" customWidth="1"/>
    <col min="21" max="21" width="8.85546875" style="29" hidden="1" customWidth="1"/>
    <col min="22" max="22" width="11.28515625" style="29" hidden="1" customWidth="1"/>
    <col min="23" max="23" width="13.7109375" style="29" hidden="1" customWidth="1"/>
    <col min="24" max="24" width="11.42578125" style="29" hidden="1" customWidth="1"/>
    <col min="25" max="25" width="9.7109375" style="29" hidden="1" customWidth="1"/>
    <col min="26" max="26" width="11.28515625" style="29" bestFit="1" customWidth="1"/>
    <col min="27" max="27" width="11.28515625" style="29" customWidth="1"/>
    <col min="28" max="28" width="10.28515625" style="29" hidden="1" customWidth="1"/>
    <col min="29" max="29" width="15.140625" style="29" bestFit="1" customWidth="1"/>
    <col min="30" max="30" width="12.5703125" style="30" customWidth="1"/>
    <col min="31" max="31" width="8.28515625" style="29" bestFit="1" customWidth="1"/>
    <col min="32" max="32" width="7.85546875" style="29" bestFit="1" customWidth="1"/>
    <col min="33" max="36" width="4.7109375" style="29" customWidth="1"/>
    <col min="37" max="37" width="15.140625" style="29" customWidth="1"/>
    <col min="38" max="38" width="15.5703125" style="29" customWidth="1"/>
    <col min="39" max="39" width="14.42578125" style="29" customWidth="1"/>
    <col min="40" max="40" width="33.28515625" style="29" bestFit="1" customWidth="1"/>
    <col min="41" max="41" width="17.7109375" style="29" bestFit="1" customWidth="1"/>
    <col min="42" max="42" width="42.28515625" style="29" bestFit="1" customWidth="1"/>
    <col min="43" max="43" width="23.42578125" style="29" bestFit="1" customWidth="1"/>
    <col min="44" max="44" width="31.140625" style="29" bestFit="1" customWidth="1"/>
    <col min="45" max="45" width="47.140625" style="29" bestFit="1" customWidth="1"/>
    <col min="46" max="46" width="12" style="29" bestFit="1" customWidth="1"/>
    <col min="47" max="16384" width="9.140625" style="29"/>
  </cols>
  <sheetData>
    <row r="1" spans="1:40" x14ac:dyDescent="0.25">
      <c r="C1" s="89" t="s">
        <v>63</v>
      </c>
      <c r="D1" s="89"/>
      <c r="E1" s="89"/>
      <c r="F1" s="89"/>
      <c r="G1" s="89"/>
    </row>
    <row r="3" spans="1:40" ht="21" x14ac:dyDescent="0.35">
      <c r="B3" s="90" t="s">
        <v>2</v>
      </c>
      <c r="C3" s="90"/>
      <c r="D3" s="90"/>
      <c r="E3" s="90"/>
    </row>
    <row r="4" spans="1:40" ht="37.5" x14ac:dyDescent="0.3">
      <c r="B4" s="31" t="s">
        <v>117</v>
      </c>
      <c r="C4" s="32" t="s">
        <v>118</v>
      </c>
      <c r="D4" s="33" t="s">
        <v>3</v>
      </c>
      <c r="E4" s="34" t="s">
        <v>4</v>
      </c>
    </row>
    <row r="5" spans="1:40" ht="15" customHeight="1" x14ac:dyDescent="0.25">
      <c r="A5" s="91"/>
      <c r="B5" s="92">
        <v>1</v>
      </c>
      <c r="C5" s="35" t="s">
        <v>1</v>
      </c>
      <c r="D5" s="36">
        <f>INDEX(Reference!$C:$G,MATCH($C$1,Reference!$B:$B,0),ROW()-ROW($B$4))</f>
        <v>5.7735026918962602E-2</v>
      </c>
      <c r="E5" s="95">
        <f>D5*(0.4*10^D6+0.2*10^D7+0.2*10^D8+0.2*10^D9)</f>
        <v>23106.827943561049</v>
      </c>
      <c r="G5" s="37"/>
      <c r="I5" s="37"/>
    </row>
    <row r="6" spans="1:40" x14ac:dyDescent="0.25">
      <c r="A6" s="91"/>
      <c r="B6" s="93"/>
      <c r="C6" s="35" t="s">
        <v>5</v>
      </c>
      <c r="D6" s="38">
        <f>INDEX(Reference!$C:$G,MATCH($C$1,Reference!$B:$B,0),ROW()-ROW($B$4))</f>
        <v>6</v>
      </c>
      <c r="E6" s="96"/>
    </row>
    <row r="7" spans="1:40" x14ac:dyDescent="0.25">
      <c r="A7" s="91"/>
      <c r="B7" s="93"/>
      <c r="C7" s="35" t="s">
        <v>6</v>
      </c>
      <c r="D7" s="38">
        <f>INDEX(Reference!$C:$G,MATCH($C$1,Reference!$B:$B,0),ROW()-ROW($B$4))</f>
        <v>1</v>
      </c>
      <c r="E7" s="96"/>
    </row>
    <row r="8" spans="1:40" x14ac:dyDescent="0.25">
      <c r="A8" s="91"/>
      <c r="B8" s="93"/>
      <c r="C8" s="35" t="s">
        <v>7</v>
      </c>
      <c r="D8" s="38">
        <f>INDEX(Reference!$C:$G,MATCH($C$1,Reference!$B:$B,0),ROW()-ROW($B$4))</f>
        <v>2</v>
      </c>
      <c r="E8" s="96"/>
    </row>
    <row r="9" spans="1:40" x14ac:dyDescent="0.25">
      <c r="A9" s="91"/>
      <c r="B9" s="94"/>
      <c r="C9" s="35" t="s">
        <v>8</v>
      </c>
      <c r="D9" s="38">
        <f>INDEX(Reference!$C:$G,MATCH($C$1,Reference!$B:$B,0),ROW()-ROW($B$4))</f>
        <v>3</v>
      </c>
      <c r="E9" s="97"/>
    </row>
    <row r="11" spans="1:40" x14ac:dyDescent="0.25">
      <c r="P11" s="29" t="s">
        <v>66</v>
      </c>
      <c r="Q11" s="39">
        <f>D5</f>
        <v>5.7735026918962602E-2</v>
      </c>
      <c r="R11" s="29">
        <f>D6</f>
        <v>6</v>
      </c>
      <c r="S11" s="29">
        <f>D7</f>
        <v>1</v>
      </c>
      <c r="T11" s="29">
        <f>D8</f>
        <v>2</v>
      </c>
      <c r="U11" s="29">
        <f>D9</f>
        <v>3</v>
      </c>
      <c r="V11" s="40"/>
    </row>
    <row r="12" spans="1:40" x14ac:dyDescent="0.25">
      <c r="G12" s="18"/>
      <c r="H12" s="18"/>
      <c r="I12" s="41"/>
      <c r="J12" s="88" t="s">
        <v>9</v>
      </c>
      <c r="K12" s="88"/>
      <c r="L12" s="42"/>
      <c r="M12" s="18"/>
      <c r="N12" s="18"/>
      <c r="O12" s="18"/>
      <c r="P12" s="18"/>
      <c r="Q12" s="43"/>
      <c r="R12" s="44">
        <v>0.4</v>
      </c>
      <c r="S12" s="44">
        <v>0.2</v>
      </c>
      <c r="T12" s="44">
        <v>0.2</v>
      </c>
      <c r="U12" s="44">
        <v>0.2</v>
      </c>
      <c r="V12" s="87" t="s">
        <v>69</v>
      </c>
      <c r="W12" s="87"/>
      <c r="X12" s="87"/>
      <c r="Y12" s="87"/>
      <c r="Z12" s="18"/>
      <c r="AA12" s="18"/>
      <c r="AB12" s="18"/>
      <c r="AC12" s="18"/>
      <c r="AD12" s="45"/>
      <c r="AE12" s="18"/>
      <c r="AF12" s="18"/>
      <c r="AG12" s="18"/>
      <c r="AH12" s="18"/>
      <c r="AI12" s="18"/>
      <c r="AJ12" s="18"/>
      <c r="AM12" s="18"/>
      <c r="AN12" s="18"/>
    </row>
    <row r="13" spans="1:40" s="46" customFormat="1" ht="45" x14ac:dyDescent="0.25">
      <c r="C13" s="34" t="s">
        <v>119</v>
      </c>
      <c r="D13" s="19" t="s">
        <v>10</v>
      </c>
      <c r="G13" s="34" t="s">
        <v>11</v>
      </c>
      <c r="H13" s="34" t="s">
        <v>12</v>
      </c>
      <c r="I13" s="34" t="s">
        <v>75</v>
      </c>
      <c r="J13" s="19" t="s">
        <v>77</v>
      </c>
      <c r="K13" s="19" t="s">
        <v>78</v>
      </c>
      <c r="L13" s="19" t="s">
        <v>13</v>
      </c>
      <c r="M13" s="34" t="s">
        <v>14</v>
      </c>
      <c r="N13" s="19" t="s">
        <v>15</v>
      </c>
      <c r="O13" s="19" t="s">
        <v>122</v>
      </c>
      <c r="P13" s="34" t="s">
        <v>16</v>
      </c>
      <c r="Q13" s="34" t="s">
        <v>67</v>
      </c>
      <c r="R13" s="34" t="s">
        <v>17</v>
      </c>
      <c r="S13" s="34" t="s">
        <v>18</v>
      </c>
      <c r="T13" s="34" t="s">
        <v>19</v>
      </c>
      <c r="U13" s="34" t="s">
        <v>0</v>
      </c>
      <c r="V13" s="34" t="s">
        <v>17</v>
      </c>
      <c r="W13" s="34" t="s">
        <v>18</v>
      </c>
      <c r="X13" s="34" t="s">
        <v>19</v>
      </c>
      <c r="Y13" s="34" t="s">
        <v>0</v>
      </c>
      <c r="Z13" s="34" t="s">
        <v>68</v>
      </c>
      <c r="AA13" s="34" t="s">
        <v>123</v>
      </c>
      <c r="AB13" s="34" t="s">
        <v>71</v>
      </c>
      <c r="AC13" s="34" t="str">
        <f>IF(D17=1,"Calibrated, ","")&amp;"Weighted New Score"</f>
        <v>Weighted New Score</v>
      </c>
      <c r="AD13" s="47" t="s">
        <v>65</v>
      </c>
      <c r="AE13" s="34" t="s">
        <v>121</v>
      </c>
      <c r="AF13" s="34" t="s">
        <v>70</v>
      </c>
      <c r="AG13" s="34"/>
      <c r="AH13" s="34"/>
      <c r="AI13" s="34"/>
      <c r="AJ13" s="48"/>
    </row>
    <row r="14" spans="1:40" ht="60" x14ac:dyDescent="0.25">
      <c r="C14" s="49" t="s">
        <v>120</v>
      </c>
      <c r="D14" s="49">
        <v>0</v>
      </c>
      <c r="G14" s="49" t="s">
        <v>64</v>
      </c>
      <c r="H14" s="50" t="s">
        <v>79</v>
      </c>
      <c r="I14" s="50" t="s">
        <v>80</v>
      </c>
      <c r="J14" s="51">
        <v>-9032.5</v>
      </c>
      <c r="K14" s="51">
        <v>-4961.5</v>
      </c>
      <c r="L14" s="51">
        <f>(0.08*J14)/(1-(1+0.08)^-N14)</f>
        <v>-990.22784001208993</v>
      </c>
      <c r="M14" s="52" t="s">
        <v>20</v>
      </c>
      <c r="N14" s="52">
        <v>17</v>
      </c>
      <c r="O14" s="52"/>
      <c r="P14" s="17">
        <f>-100*Data!B15/Data!B14</f>
        <v>-71.942446043165461</v>
      </c>
      <c r="Q14" s="17">
        <f>+D5*(100-P14)/100</f>
        <v>9.9271017508144335E-2</v>
      </c>
      <c r="R14" s="52">
        <v>0</v>
      </c>
      <c r="S14" s="53">
        <v>0</v>
      </c>
      <c r="T14" s="53">
        <v>0</v>
      </c>
      <c r="U14" s="53">
        <v>0</v>
      </c>
      <c r="V14" s="10">
        <f>(R$12)* ((10^R$11)*(1-(R14/100)))</f>
        <v>400000</v>
      </c>
      <c r="W14" s="10">
        <f t="shared" ref="W14:Y14" si="0">(S$12)* ((10^S$11)*(1-(S14/100)))</f>
        <v>2</v>
      </c>
      <c r="X14" s="10">
        <f t="shared" si="0"/>
        <v>20</v>
      </c>
      <c r="Y14" s="10">
        <f t="shared" si="0"/>
        <v>200</v>
      </c>
      <c r="Z14" s="11">
        <f>Q14*SUM(V14:Y14)</f>
        <v>39730.445169144543</v>
      </c>
      <c r="AA14" s="11">
        <f>($E$5-Z14)*N14</f>
        <v>-282601.49283491937</v>
      </c>
      <c r="AB14" s="12">
        <v>1</v>
      </c>
      <c r="AC14" s="13">
        <f>IF($D$15=1,AA14*AB14*IF($D$17=1,$B$5,1),AA14*IF($D$17=1,$B$5,1))</f>
        <v>-282601.49283491937</v>
      </c>
      <c r="AD14" s="14">
        <f>J14+K14*N14</f>
        <v>-93378</v>
      </c>
      <c r="AE14" s="15">
        <f>AC14/AD14</f>
        <v>3.0264247770879584</v>
      </c>
      <c r="AF14" s="16">
        <f>RANK(AE14,$AE$14:$AE$23)</f>
        <v>1</v>
      </c>
      <c r="AG14" s="54"/>
      <c r="AH14" s="49"/>
      <c r="AI14" s="49"/>
      <c r="AJ14" s="55"/>
      <c r="AK14" s="56"/>
      <c r="AL14" s="56"/>
    </row>
    <row r="15" spans="1:40" ht="45" x14ac:dyDescent="0.25">
      <c r="C15" s="49" t="s">
        <v>21</v>
      </c>
      <c r="D15" s="49">
        <v>0</v>
      </c>
      <c r="G15" s="49"/>
      <c r="H15" s="50" t="s">
        <v>81</v>
      </c>
      <c r="I15" s="57" t="s">
        <v>82</v>
      </c>
      <c r="J15" s="58"/>
      <c r="K15" s="58"/>
      <c r="L15" s="58"/>
      <c r="M15" s="55"/>
      <c r="N15" s="55"/>
      <c r="O15" s="55"/>
      <c r="P15" s="59"/>
      <c r="Q15" s="59"/>
      <c r="R15" s="60"/>
      <c r="S15" s="60"/>
      <c r="T15" s="60"/>
      <c r="U15" s="60"/>
      <c r="V15" s="61"/>
      <c r="W15" s="61"/>
      <c r="X15" s="61"/>
      <c r="Y15" s="61"/>
      <c r="Z15" s="62"/>
      <c r="AA15" s="62"/>
      <c r="AB15" s="63"/>
      <c r="AC15" s="64"/>
      <c r="AD15" s="65"/>
      <c r="AE15" s="66"/>
      <c r="AF15" s="67"/>
      <c r="AG15" s="68"/>
      <c r="AH15" s="69"/>
      <c r="AI15" s="70"/>
      <c r="AJ15" s="55"/>
      <c r="AK15" s="56"/>
      <c r="AL15" s="56"/>
    </row>
    <row r="16" spans="1:40" ht="90" x14ac:dyDescent="0.25">
      <c r="C16" s="49" t="s">
        <v>22</v>
      </c>
      <c r="D16" s="49">
        <v>0</v>
      </c>
      <c r="G16" s="49"/>
      <c r="H16" s="50" t="s">
        <v>83</v>
      </c>
      <c r="I16" s="57" t="s">
        <v>84</v>
      </c>
      <c r="J16" s="58"/>
      <c r="K16" s="58"/>
      <c r="L16" s="58"/>
      <c r="M16" s="55"/>
      <c r="N16" s="55"/>
      <c r="O16" s="55"/>
      <c r="P16" s="59"/>
      <c r="Q16" s="59"/>
      <c r="R16" s="60"/>
      <c r="S16" s="60"/>
      <c r="T16" s="60"/>
      <c r="U16" s="60"/>
      <c r="V16" s="61"/>
      <c r="W16" s="61"/>
      <c r="X16" s="61"/>
      <c r="Y16" s="61"/>
      <c r="Z16" s="62"/>
      <c r="AA16" s="62"/>
      <c r="AB16" s="63"/>
      <c r="AC16" s="64"/>
      <c r="AD16" s="65"/>
      <c r="AE16" s="66"/>
      <c r="AF16" s="67"/>
      <c r="AG16" s="68"/>
      <c r="AH16" s="69"/>
      <c r="AI16" s="70"/>
      <c r="AJ16" s="55"/>
      <c r="AK16" s="56"/>
      <c r="AL16" s="56"/>
    </row>
    <row r="17" spans="3:38" ht="45" x14ac:dyDescent="0.25">
      <c r="C17" s="49" t="s">
        <v>117</v>
      </c>
      <c r="D17" s="49">
        <v>0</v>
      </c>
      <c r="G17" s="49"/>
      <c r="H17" s="50" t="s">
        <v>85</v>
      </c>
      <c r="I17" s="57" t="s">
        <v>124</v>
      </c>
      <c r="J17" s="58"/>
      <c r="K17" s="58"/>
      <c r="L17" s="58"/>
      <c r="M17" s="55"/>
      <c r="N17" s="55"/>
      <c r="O17" s="55"/>
      <c r="P17" s="59"/>
      <c r="Q17" s="59"/>
      <c r="R17" s="60"/>
      <c r="S17" s="60"/>
      <c r="T17" s="60"/>
      <c r="U17" s="60"/>
      <c r="V17" s="61"/>
      <c r="W17" s="61"/>
      <c r="X17" s="61"/>
      <c r="Y17" s="61"/>
      <c r="Z17" s="62"/>
      <c r="AA17" s="62"/>
      <c r="AB17" s="63"/>
      <c r="AC17" s="64"/>
      <c r="AD17" s="65"/>
      <c r="AE17" s="66"/>
      <c r="AF17" s="67"/>
      <c r="AG17" s="68"/>
      <c r="AH17" s="69"/>
      <c r="AI17" s="70"/>
      <c r="AJ17" s="55"/>
      <c r="AK17" s="56"/>
      <c r="AL17" s="56"/>
    </row>
    <row r="18" spans="3:38" ht="75" x14ac:dyDescent="0.25">
      <c r="C18" s="55"/>
      <c r="D18" s="55"/>
      <c r="G18" s="49"/>
      <c r="H18" s="50" t="s">
        <v>86</v>
      </c>
      <c r="I18" s="57" t="s">
        <v>87</v>
      </c>
      <c r="J18" s="58"/>
      <c r="K18" s="58"/>
      <c r="L18" s="58"/>
      <c r="M18" s="55"/>
      <c r="N18" s="55"/>
      <c r="O18" s="55"/>
      <c r="P18" s="59"/>
      <c r="Q18" s="59"/>
      <c r="R18" s="60"/>
      <c r="S18" s="60"/>
      <c r="T18" s="60"/>
      <c r="U18" s="60"/>
      <c r="V18" s="61"/>
      <c r="W18" s="61"/>
      <c r="X18" s="61"/>
      <c r="Y18" s="61"/>
      <c r="Z18" s="62"/>
      <c r="AA18" s="62"/>
      <c r="AB18" s="63"/>
      <c r="AC18" s="64"/>
      <c r="AD18" s="65"/>
      <c r="AE18" s="66"/>
      <c r="AF18" s="67"/>
      <c r="AG18" s="68"/>
      <c r="AH18" s="69"/>
      <c r="AI18" s="70"/>
      <c r="AJ18" s="55"/>
      <c r="AK18" s="56"/>
      <c r="AL18" s="56"/>
    </row>
    <row r="19" spans="3:38" x14ac:dyDescent="0.25">
      <c r="G19" s="49"/>
      <c r="H19" s="50" t="s">
        <v>88</v>
      </c>
      <c r="I19" s="57" t="s">
        <v>88</v>
      </c>
      <c r="J19" s="58"/>
      <c r="K19" s="58"/>
      <c r="L19" s="58"/>
      <c r="M19" s="55"/>
      <c r="N19" s="55"/>
      <c r="O19" s="55"/>
      <c r="P19" s="59"/>
      <c r="Q19" s="59"/>
      <c r="R19" s="60"/>
      <c r="S19" s="60"/>
      <c r="T19" s="60"/>
      <c r="U19" s="60"/>
      <c r="V19" s="61"/>
      <c r="W19" s="61"/>
      <c r="X19" s="61"/>
      <c r="Y19" s="61"/>
      <c r="Z19" s="62"/>
      <c r="AA19" s="62"/>
      <c r="AB19" s="63"/>
      <c r="AC19" s="64"/>
      <c r="AD19" s="65"/>
      <c r="AE19" s="66"/>
      <c r="AF19" s="67"/>
      <c r="AG19" s="68"/>
      <c r="AH19" s="69"/>
      <c r="AI19" s="70"/>
      <c r="AJ19" s="55"/>
      <c r="AK19" s="56"/>
      <c r="AL19" s="56"/>
    </row>
    <row r="20" spans="3:38" ht="30" x14ac:dyDescent="0.25">
      <c r="G20" s="49"/>
      <c r="H20" s="50" t="s">
        <v>89</v>
      </c>
      <c r="I20" s="50" t="s">
        <v>89</v>
      </c>
      <c r="J20" s="58"/>
      <c r="K20" s="58"/>
      <c r="L20" s="58"/>
      <c r="M20" s="55"/>
      <c r="N20" s="55"/>
      <c r="O20" s="55"/>
      <c r="P20" s="59"/>
      <c r="Q20" s="59"/>
      <c r="R20" s="60"/>
      <c r="S20" s="60"/>
      <c r="T20" s="60"/>
      <c r="U20" s="60"/>
      <c r="V20" s="61"/>
      <c r="W20" s="61"/>
      <c r="X20" s="61"/>
      <c r="Y20" s="61"/>
      <c r="Z20" s="62"/>
      <c r="AA20" s="62"/>
      <c r="AB20" s="63"/>
      <c r="AC20" s="64"/>
      <c r="AD20" s="65"/>
      <c r="AE20" s="66"/>
      <c r="AF20" s="66"/>
      <c r="AG20" s="71"/>
      <c r="AH20" s="15"/>
      <c r="AI20" s="72"/>
      <c r="AJ20" s="73"/>
      <c r="AK20" s="73"/>
    </row>
    <row r="21" spans="3:38" ht="30" x14ac:dyDescent="0.25">
      <c r="G21" s="49"/>
      <c r="H21" s="50" t="s">
        <v>90</v>
      </c>
      <c r="I21" s="50" t="s">
        <v>90</v>
      </c>
      <c r="J21" s="58"/>
      <c r="K21" s="58"/>
      <c r="L21" s="58"/>
      <c r="M21" s="55"/>
      <c r="N21" s="55"/>
      <c r="O21" s="55"/>
      <c r="P21" s="59"/>
      <c r="Q21" s="59"/>
      <c r="R21" s="60"/>
      <c r="S21" s="60"/>
      <c r="T21" s="60"/>
      <c r="U21" s="60"/>
      <c r="V21" s="61"/>
      <c r="W21" s="61"/>
      <c r="X21" s="61"/>
      <c r="Y21" s="61"/>
      <c r="Z21" s="62"/>
      <c r="AA21" s="62"/>
      <c r="AB21" s="63"/>
      <c r="AC21" s="64"/>
      <c r="AD21" s="65"/>
      <c r="AE21" s="66"/>
      <c r="AF21" s="67"/>
      <c r="AG21" s="68"/>
      <c r="AH21" s="69"/>
      <c r="AI21" s="70"/>
      <c r="AJ21" s="55"/>
      <c r="AK21" s="56"/>
      <c r="AL21" s="56"/>
    </row>
    <row r="22" spans="3:38" ht="30" x14ac:dyDescent="0.25">
      <c r="G22" s="49"/>
      <c r="H22" s="50" t="s">
        <v>91</v>
      </c>
      <c r="I22" s="50" t="s">
        <v>91</v>
      </c>
      <c r="AG22" s="68"/>
      <c r="AH22" s="69"/>
      <c r="AI22" s="70"/>
    </row>
    <row r="23" spans="3:38" ht="34.5" customHeight="1" x14ac:dyDescent="0.25">
      <c r="G23" s="49" t="s">
        <v>109</v>
      </c>
      <c r="H23" s="50" t="s">
        <v>110</v>
      </c>
      <c r="I23" s="50" t="s">
        <v>93</v>
      </c>
      <c r="J23" s="51">
        <v>7711.5</v>
      </c>
      <c r="K23" s="51">
        <v>3077.5</v>
      </c>
      <c r="L23" s="51">
        <f>(0.08*J23)/(1-(1+0.08)^-N23)</f>
        <v>845.40736100229515</v>
      </c>
      <c r="M23" s="52" t="s">
        <v>111</v>
      </c>
      <c r="N23" s="52">
        <v>17</v>
      </c>
      <c r="O23" s="52"/>
      <c r="P23" s="17">
        <f>Data!B16*100</f>
        <v>10</v>
      </c>
      <c r="Q23" s="17">
        <f>+D5*(100-P23)/100</f>
        <v>5.196152422706634E-2</v>
      </c>
      <c r="R23" s="52">
        <v>0</v>
      </c>
      <c r="S23" s="53">
        <v>0</v>
      </c>
      <c r="T23" s="53">
        <v>0</v>
      </c>
      <c r="U23" s="53">
        <v>0</v>
      </c>
      <c r="V23" s="10">
        <f>(R$12)* ((10^R$11)*(1-(R23/100)))</f>
        <v>400000</v>
      </c>
      <c r="W23" s="10">
        <f t="shared" ref="W23" si="1">(S$12)* ((10^S$11)*(1-(S23/100)))</f>
        <v>2</v>
      </c>
      <c r="X23" s="10">
        <f t="shared" ref="X23" si="2">(T$12)* ((10^T$11)*(1-(T23/100)))</f>
        <v>20</v>
      </c>
      <c r="Y23" s="10">
        <f t="shared" ref="Y23" si="3">(U$12)* ((10^U$11)*(1-(U23/100)))</f>
        <v>200</v>
      </c>
      <c r="Z23" s="11">
        <f>Q23*SUM(V23:Y23)</f>
        <v>20796.145149204945</v>
      </c>
      <c r="AA23" s="11">
        <f>($E$5-Z23)*N23</f>
        <v>39281.607504053769</v>
      </c>
      <c r="AB23" s="12">
        <v>1</v>
      </c>
      <c r="AC23" s="13">
        <f>IF($D$15=1,AA23*AB23*IF($D$17=1,$B$5,1),AA23*IF($D$17=1,$B$5,1))</f>
        <v>39281.607504053769</v>
      </c>
      <c r="AD23" s="14">
        <f>J23+K23*N23</f>
        <v>60029</v>
      </c>
      <c r="AE23" s="15">
        <f>AC23/AD23</f>
        <v>0.65437717609911494</v>
      </c>
      <c r="AF23" s="16">
        <f>RANK(AE23,$AE$14:$AE$23)</f>
        <v>2</v>
      </c>
      <c r="AG23" s="68"/>
      <c r="AH23" s="69"/>
      <c r="AI23" s="70"/>
    </row>
    <row r="24" spans="3:38" ht="30" x14ac:dyDescent="0.25">
      <c r="G24" s="49"/>
      <c r="H24" s="50"/>
      <c r="I24" s="50" t="s">
        <v>94</v>
      </c>
      <c r="AG24" s="68"/>
      <c r="AH24" s="69"/>
      <c r="AI24" s="70"/>
    </row>
    <row r="25" spans="3:38" ht="30" x14ac:dyDescent="0.25">
      <c r="G25" s="49"/>
      <c r="H25" s="50"/>
      <c r="I25" s="50" t="s">
        <v>92</v>
      </c>
    </row>
  </sheetData>
  <sheetProtection algorithmName="SHA-512" hashValue="x3Xv8t6Bmge1uHNcLUsYK7Ehnxq9f5qio4Ykedx4Jg4TAb6y35Wj0TC9cCaQeyBSf/kCAwuLXxG8MeHfAeukSA==" saltValue="7NaHRpoZrU35SkG1LwvbRQ==" spinCount="100000" sheet="1" objects="1" scenarios="1"/>
  <mergeCells count="7">
    <mergeCell ref="V12:Y12"/>
    <mergeCell ref="J12:K12"/>
    <mergeCell ref="C1:G1"/>
    <mergeCell ref="B3:E3"/>
    <mergeCell ref="A5:A9"/>
    <mergeCell ref="B5:B9"/>
    <mergeCell ref="E5:E9"/>
  </mergeCells>
  <dataValidations count="1">
    <dataValidation type="list" allowBlank="1" showInputMessage="1" showErrorMessage="1" sqref="M14:M21 M23">
      <formula1>"New, Existing"</formula1>
    </dataValidation>
  </dataValidation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K19"/>
  <sheetViews>
    <sheetView workbookViewId="0">
      <selection activeCell="H25" sqref="H25"/>
    </sheetView>
  </sheetViews>
  <sheetFormatPr defaultRowHeight="15" x14ac:dyDescent="0.25"/>
  <cols>
    <col min="1" max="1" width="14.5703125" style="29" customWidth="1"/>
    <col min="2" max="2" width="6.85546875" style="29" customWidth="1"/>
    <col min="3" max="3" width="12" style="29" bestFit="1" customWidth="1"/>
    <col min="4" max="4" width="10.85546875" style="29" bestFit="1" customWidth="1"/>
    <col min="5" max="5" width="15.140625" style="29" bestFit="1" customWidth="1"/>
    <col min="6" max="6" width="19" style="29" bestFit="1" customWidth="1"/>
    <col min="7" max="7" width="9.5703125" style="29" bestFit="1" customWidth="1"/>
    <col min="8" max="8" width="8.85546875" style="29" bestFit="1" customWidth="1"/>
    <col min="9" max="9" width="12.5703125" style="29" bestFit="1" customWidth="1"/>
    <col min="10" max="10" width="4.5703125" style="29" bestFit="1" customWidth="1"/>
    <col min="11" max="11" width="16.85546875" style="29" bestFit="1" customWidth="1"/>
    <col min="12" max="12" width="45.85546875" style="29" bestFit="1" customWidth="1"/>
    <col min="13" max="16384" width="9.140625" style="29"/>
  </cols>
  <sheetData>
    <row r="2" spans="2:11" x14ac:dyDescent="0.25">
      <c r="B2" s="29" t="s">
        <v>108</v>
      </c>
    </row>
    <row r="4" spans="2:11" x14ac:dyDescent="0.25"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102</v>
      </c>
      <c r="H4" s="29" t="s">
        <v>103</v>
      </c>
      <c r="I4" s="29" t="s">
        <v>104</v>
      </c>
      <c r="J4" s="29" t="s">
        <v>105</v>
      </c>
      <c r="K4" s="29" t="s">
        <v>112</v>
      </c>
    </row>
    <row r="5" spans="2:11" x14ac:dyDescent="0.25">
      <c r="B5" s="74">
        <v>2010</v>
      </c>
      <c r="C5" s="74">
        <v>139</v>
      </c>
      <c r="D5" s="74">
        <v>402</v>
      </c>
      <c r="E5" s="75">
        <v>4935983</v>
      </c>
      <c r="F5" s="74">
        <v>317.68</v>
      </c>
      <c r="G5" s="76">
        <f>+C5/$C$11*1000</f>
        <v>31.186897015929997</v>
      </c>
      <c r="H5" s="76">
        <f>+D5/$C$12*1000</f>
        <v>47.783192677998336</v>
      </c>
      <c r="I5" s="76">
        <f>+E5/F5/1000</f>
        <v>15.53759443465122</v>
      </c>
      <c r="J5" s="76">
        <f>+AVERAGE(I5:I9)</f>
        <v>18.59528767864823</v>
      </c>
      <c r="K5" s="76">
        <f>+(C5+D5)/($C$11+$C$12)*1000</f>
        <v>42.035742035742032</v>
      </c>
    </row>
    <row r="6" spans="2:11" x14ac:dyDescent="0.25">
      <c r="B6" s="74">
        <v>2011</v>
      </c>
      <c r="C6" s="74">
        <v>133</v>
      </c>
      <c r="D6" s="74">
        <v>441</v>
      </c>
      <c r="E6" s="75">
        <v>5812523</v>
      </c>
      <c r="F6" s="74">
        <v>315.18</v>
      </c>
      <c r="G6" s="76">
        <f t="shared" ref="G6:G9" si="0">+C6/$C$11*1000</f>
        <v>29.840700022436618</v>
      </c>
      <c r="H6" s="76">
        <f t="shared" ref="H6:H9" si="1">+D6/$C$12*1000</f>
        <v>52.418875549744442</v>
      </c>
      <c r="I6" s="76">
        <f t="shared" ref="I6:I9" si="2">+E6/F6/1000</f>
        <v>18.441915730693569</v>
      </c>
      <c r="J6" s="76">
        <f>+J5</f>
        <v>18.59528767864823</v>
      </c>
      <c r="K6" s="76">
        <f t="shared" ref="K6:K9" si="3">+(C6+D6)/($C$11+$C$12)*1000</f>
        <v>44.599844599844594</v>
      </c>
    </row>
    <row r="7" spans="2:11" x14ac:dyDescent="0.25">
      <c r="B7" s="74">
        <v>2012</v>
      </c>
      <c r="C7" s="74">
        <v>93</v>
      </c>
      <c r="D7" s="74">
        <v>453</v>
      </c>
      <c r="E7" s="75">
        <v>6842594</v>
      </c>
      <c r="F7" s="74">
        <v>312.86</v>
      </c>
      <c r="G7" s="76">
        <f t="shared" si="0"/>
        <v>20.866053399147408</v>
      </c>
      <c r="H7" s="76">
        <f t="shared" si="1"/>
        <v>53.845239510281708</v>
      </c>
      <c r="I7" s="76">
        <f t="shared" si="2"/>
        <v>21.87110528670971</v>
      </c>
      <c r="J7" s="76">
        <f t="shared" ref="J7:J9" si="4">+J6</f>
        <v>18.59528767864823</v>
      </c>
      <c r="K7" s="76">
        <f t="shared" si="3"/>
        <v>42.424242424242429</v>
      </c>
    </row>
    <row r="8" spans="2:11" x14ac:dyDescent="0.25">
      <c r="B8" s="74">
        <v>2013</v>
      </c>
      <c r="C8" s="74">
        <v>62</v>
      </c>
      <c r="D8" s="74">
        <v>432</v>
      </c>
      <c r="E8" s="75">
        <v>6126424</v>
      </c>
      <c r="F8" s="74">
        <v>310.5</v>
      </c>
      <c r="G8" s="76">
        <f t="shared" si="0"/>
        <v>13.910702266098273</v>
      </c>
      <c r="H8" s="76">
        <f t="shared" si="1"/>
        <v>51.349102579341491</v>
      </c>
      <c r="I8" s="76">
        <f t="shared" si="2"/>
        <v>19.730834138486312</v>
      </c>
      <c r="J8" s="76">
        <f t="shared" si="4"/>
        <v>18.59528767864823</v>
      </c>
      <c r="K8" s="76">
        <f t="shared" si="3"/>
        <v>38.383838383838381</v>
      </c>
    </row>
    <row r="9" spans="2:11" x14ac:dyDescent="0.25">
      <c r="B9" s="74">
        <v>2014</v>
      </c>
      <c r="C9" s="74">
        <v>39</v>
      </c>
      <c r="D9" s="74">
        <v>351</v>
      </c>
      <c r="E9" s="75">
        <v>5359570</v>
      </c>
      <c r="F9" s="74">
        <v>308.11</v>
      </c>
      <c r="G9" s="76">
        <f t="shared" si="0"/>
        <v>8.7502804577069782</v>
      </c>
      <c r="H9" s="76">
        <f t="shared" si="1"/>
        <v>41.721145845714965</v>
      </c>
      <c r="I9" s="76">
        <f t="shared" si="2"/>
        <v>17.394988802700333</v>
      </c>
      <c r="J9" s="76">
        <f t="shared" si="4"/>
        <v>18.59528767864823</v>
      </c>
      <c r="K9" s="76">
        <f t="shared" si="3"/>
        <v>30.303030303030305</v>
      </c>
    </row>
    <row r="11" spans="2:11" x14ac:dyDescent="0.25">
      <c r="C11" s="75">
        <v>4457</v>
      </c>
      <c r="D11" s="29" t="s">
        <v>100</v>
      </c>
    </row>
    <row r="12" spans="2:11" x14ac:dyDescent="0.25">
      <c r="C12" s="75">
        <v>8413</v>
      </c>
      <c r="D12" s="29" t="s">
        <v>101</v>
      </c>
    </row>
    <row r="13" spans="2:11" x14ac:dyDescent="0.25">
      <c r="C13" s="75"/>
    </row>
    <row r="14" spans="2:11" x14ac:dyDescent="0.25">
      <c r="B14" s="77">
        <f>+MAX(G5:G9,J9)</f>
        <v>31.186897015929997</v>
      </c>
      <c r="C14" s="29" t="s">
        <v>114</v>
      </c>
      <c r="K14" s="29" t="s">
        <v>116</v>
      </c>
    </row>
    <row r="15" spans="2:11" x14ac:dyDescent="0.25">
      <c r="B15" s="77">
        <f>+B14-G9</f>
        <v>22.436616558223019</v>
      </c>
      <c r="C15" s="78" t="s">
        <v>115</v>
      </c>
    </row>
    <row r="16" spans="2:11" x14ac:dyDescent="0.25">
      <c r="B16" s="79">
        <v>0.1</v>
      </c>
      <c r="C16" s="29" t="s">
        <v>113</v>
      </c>
    </row>
    <row r="18" spans="2:2" x14ac:dyDescent="0.25">
      <c r="B18" s="29" t="s">
        <v>106</v>
      </c>
    </row>
    <row r="19" spans="2:2" x14ac:dyDescent="0.25">
      <c r="B19" s="29" t="s">
        <v>107</v>
      </c>
    </row>
  </sheetData>
  <sheetProtection password="E9C7"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1" max="1" width="9.140625" style="3"/>
    <col min="2" max="2" width="77.7109375" style="3" bestFit="1" customWidth="1"/>
    <col min="3" max="3" width="14.42578125" style="3" bestFit="1" customWidth="1"/>
    <col min="4" max="4" width="23.42578125" style="3" bestFit="1" customWidth="1"/>
    <col min="5" max="5" width="27" style="3" bestFit="1" customWidth="1"/>
    <col min="6" max="6" width="28.42578125" style="3" bestFit="1" customWidth="1"/>
    <col min="7" max="7" width="25.85546875" style="3" bestFit="1" customWidth="1"/>
    <col min="8" max="8" width="22.28515625" style="3" bestFit="1" customWidth="1"/>
    <col min="9" max="9" width="18.5703125" style="3" bestFit="1" customWidth="1"/>
    <col min="10" max="10" width="9.140625" style="3"/>
    <col min="11" max="11" width="4.7109375" style="3" customWidth="1"/>
    <col min="12" max="12" width="11.5703125" style="3" bestFit="1" customWidth="1"/>
    <col min="13" max="14" width="9.140625" style="3"/>
    <col min="15" max="15" width="4.140625" style="3" customWidth="1"/>
    <col min="16" max="16" width="11.5703125" style="3" bestFit="1" customWidth="1"/>
    <col min="17" max="17" width="9.140625" style="3"/>
    <col min="18" max="35" width="2.7109375" style="8" customWidth="1"/>
    <col min="36" max="16384" width="9.140625" style="3"/>
  </cols>
  <sheetData>
    <row r="1" spans="1:35" x14ac:dyDescent="0.25">
      <c r="B1" s="20" t="s">
        <v>24</v>
      </c>
      <c r="C1" s="20" t="s">
        <v>25</v>
      </c>
      <c r="D1" s="20" t="s">
        <v>26</v>
      </c>
      <c r="E1" s="20" t="s">
        <v>27</v>
      </c>
      <c r="F1" s="20" t="s">
        <v>28</v>
      </c>
      <c r="G1" s="20" t="s">
        <v>29</v>
      </c>
      <c r="H1" s="20" t="s">
        <v>30</v>
      </c>
      <c r="I1" s="21" t="s">
        <v>31</v>
      </c>
      <c r="K1" s="99" t="s">
        <v>23</v>
      </c>
      <c r="L1" s="99"/>
      <c r="O1" s="99" t="s">
        <v>32</v>
      </c>
      <c r="P1" s="99"/>
    </row>
    <row r="2" spans="1:35" x14ac:dyDescent="0.25">
      <c r="A2" s="3">
        <v>1</v>
      </c>
      <c r="B2" s="4" t="s">
        <v>38</v>
      </c>
      <c r="C2" s="5">
        <v>0.182574185835055</v>
      </c>
      <c r="D2" s="4">
        <v>4</v>
      </c>
      <c r="E2" s="4">
        <v>6</v>
      </c>
      <c r="F2" s="4">
        <v>5</v>
      </c>
      <c r="G2" s="4">
        <v>5</v>
      </c>
      <c r="H2" s="6">
        <v>44548.101343753427</v>
      </c>
      <c r="I2" s="7">
        <f t="shared" ref="I2:I29" si="0">($K$11*$C2*10^$D2)+($K$12*$C2*10^$E2)+($K$13*$C2*10^$F2)+($K$14*$C2*10^$G2)</f>
        <v>44548.101343753427</v>
      </c>
      <c r="K2" s="22">
        <v>7</v>
      </c>
      <c r="L2" s="23">
        <v>31.6227766016838</v>
      </c>
      <c r="M2" s="3">
        <v>7</v>
      </c>
      <c r="O2" s="22">
        <v>7</v>
      </c>
      <c r="P2" s="24">
        <f>10^O2</f>
        <v>10000000</v>
      </c>
    </row>
    <row r="3" spans="1:35" x14ac:dyDescent="0.25">
      <c r="A3" s="3" t="s">
        <v>74</v>
      </c>
      <c r="B3" s="4" t="s">
        <v>72</v>
      </c>
      <c r="C3" s="5">
        <v>5.7735026918962602E-2</v>
      </c>
      <c r="D3" s="4">
        <v>4</v>
      </c>
      <c r="E3" s="4">
        <v>5</v>
      </c>
      <c r="F3" s="4">
        <v>4</v>
      </c>
      <c r="G3" s="4">
        <v>5</v>
      </c>
      <c r="H3" s="6">
        <v>2655.8112382722798</v>
      </c>
      <c r="I3" s="7">
        <f t="shared" si="0"/>
        <v>2655.8112382722798</v>
      </c>
      <c r="K3" s="22">
        <v>6</v>
      </c>
      <c r="L3" s="23">
        <v>3.16227766016838</v>
      </c>
      <c r="M3" s="3">
        <v>6</v>
      </c>
      <c r="O3" s="22">
        <v>6</v>
      </c>
      <c r="P3" s="24">
        <f t="shared" ref="P3:P8" si="1">10^O3</f>
        <v>1000000</v>
      </c>
    </row>
    <row r="4" spans="1:35" ht="18" x14ac:dyDescent="0.25">
      <c r="A4" s="3">
        <v>3</v>
      </c>
      <c r="B4" s="4" t="s">
        <v>39</v>
      </c>
      <c r="C4" s="5">
        <v>0.57735026918962595</v>
      </c>
      <c r="D4" s="4">
        <v>6</v>
      </c>
      <c r="E4" s="4">
        <v>4</v>
      </c>
      <c r="F4" s="4">
        <v>3</v>
      </c>
      <c r="G4" s="4">
        <v>4</v>
      </c>
      <c r="H4" s="6">
        <v>233364.97880644683</v>
      </c>
      <c r="I4" s="7">
        <f t="shared" si="0"/>
        <v>233364.97880644683</v>
      </c>
      <c r="K4" s="22">
        <v>5</v>
      </c>
      <c r="L4" s="23">
        <v>0.57735026918962595</v>
      </c>
      <c r="M4" s="3">
        <v>5</v>
      </c>
      <c r="O4" s="22">
        <v>5</v>
      </c>
      <c r="P4" s="24">
        <f t="shared" si="1"/>
        <v>100000</v>
      </c>
      <c r="T4" s="9" t="s">
        <v>36</v>
      </c>
      <c r="U4" s="25"/>
    </row>
    <row r="5" spans="1:35" x14ac:dyDescent="0.25">
      <c r="A5" s="3">
        <v>4</v>
      </c>
      <c r="B5" s="4" t="s">
        <v>41</v>
      </c>
      <c r="C5" s="5">
        <v>5.7735026918962602E-2</v>
      </c>
      <c r="D5" s="4">
        <v>5</v>
      </c>
      <c r="E5" s="4">
        <v>5</v>
      </c>
      <c r="F5" s="4">
        <v>5</v>
      </c>
      <c r="G5" s="4">
        <v>4</v>
      </c>
      <c r="H5" s="6">
        <v>4734.2722073549339</v>
      </c>
      <c r="I5" s="7">
        <f t="shared" si="0"/>
        <v>4734.2722073549339</v>
      </c>
      <c r="K5" s="22">
        <v>4</v>
      </c>
      <c r="L5" s="23">
        <v>0.182574185835055</v>
      </c>
      <c r="M5" s="3">
        <v>4</v>
      </c>
      <c r="O5" s="22">
        <v>4</v>
      </c>
      <c r="P5" s="24">
        <f t="shared" si="1"/>
        <v>10000</v>
      </c>
      <c r="T5" s="100" t="s">
        <v>17</v>
      </c>
      <c r="U5" s="100"/>
      <c r="V5" s="100"/>
      <c r="W5" s="100"/>
      <c r="X5" s="100"/>
      <c r="Y5" s="100"/>
      <c r="Z5" s="100"/>
      <c r="AC5" s="100" t="s">
        <v>19</v>
      </c>
      <c r="AD5" s="100"/>
      <c r="AE5" s="100"/>
      <c r="AF5" s="100"/>
      <c r="AG5" s="100"/>
      <c r="AH5" s="100"/>
      <c r="AI5" s="100"/>
    </row>
    <row r="6" spans="1:35" x14ac:dyDescent="0.25">
      <c r="A6" s="3">
        <v>5</v>
      </c>
      <c r="B6" s="4" t="s">
        <v>42</v>
      </c>
      <c r="C6" s="5">
        <v>0.57735026918962595</v>
      </c>
      <c r="D6" s="4">
        <v>4</v>
      </c>
      <c r="E6" s="4">
        <v>4</v>
      </c>
      <c r="F6" s="4">
        <v>4</v>
      </c>
      <c r="G6" s="4">
        <v>4</v>
      </c>
      <c r="H6" s="6">
        <v>5773.5026918962594</v>
      </c>
      <c r="I6" s="7">
        <f t="shared" si="0"/>
        <v>5773.5026918962594</v>
      </c>
      <c r="K6" s="22">
        <v>3</v>
      </c>
      <c r="L6" s="23">
        <v>5.7735026918962602E-2</v>
      </c>
      <c r="M6" s="3">
        <v>3</v>
      </c>
      <c r="O6" s="22">
        <v>3</v>
      </c>
      <c r="P6" s="24">
        <f t="shared" si="1"/>
        <v>1000</v>
      </c>
      <c r="R6" s="101" t="s">
        <v>1</v>
      </c>
      <c r="S6" s="26">
        <v>7</v>
      </c>
      <c r="T6" s="27" t="s">
        <v>76</v>
      </c>
      <c r="U6" s="27" t="s">
        <v>76</v>
      </c>
      <c r="V6" s="27" t="s">
        <v>76</v>
      </c>
      <c r="W6" s="27" t="s">
        <v>76</v>
      </c>
      <c r="X6" s="27" t="s">
        <v>76</v>
      </c>
      <c r="Y6" s="27" t="s">
        <v>76</v>
      </c>
      <c r="Z6" s="27" t="s">
        <v>76</v>
      </c>
      <c r="AB6" s="26">
        <v>7</v>
      </c>
      <c r="AC6" s="27" t="s">
        <v>76</v>
      </c>
      <c r="AD6" s="27" t="s">
        <v>76</v>
      </c>
      <c r="AE6" s="27" t="s">
        <v>76</v>
      </c>
      <c r="AF6" s="27" t="s">
        <v>76</v>
      </c>
      <c r="AG6" s="27" t="s">
        <v>76</v>
      </c>
      <c r="AH6" s="27" t="s">
        <v>76</v>
      </c>
      <c r="AI6" s="27" t="s">
        <v>76</v>
      </c>
    </row>
    <row r="7" spans="1:35" x14ac:dyDescent="0.25">
      <c r="A7" s="3">
        <v>6</v>
      </c>
      <c r="B7" s="4" t="s">
        <v>44</v>
      </c>
      <c r="C7" s="5">
        <v>5.7735026918962602E-2</v>
      </c>
      <c r="D7" s="4">
        <v>6</v>
      </c>
      <c r="E7" s="4">
        <v>1</v>
      </c>
      <c r="F7" s="4">
        <v>2</v>
      </c>
      <c r="G7" s="4">
        <v>3</v>
      </c>
      <c r="H7" s="6">
        <v>23106.827943561053</v>
      </c>
      <c r="I7" s="7">
        <f t="shared" si="0"/>
        <v>23106.827943561053</v>
      </c>
      <c r="K7" s="22">
        <v>2</v>
      </c>
      <c r="L7" s="23">
        <v>1.8257418583505498E-2</v>
      </c>
      <c r="M7" s="3">
        <v>2</v>
      </c>
      <c r="O7" s="22">
        <v>2</v>
      </c>
      <c r="P7" s="24">
        <f t="shared" si="1"/>
        <v>100</v>
      </c>
      <c r="R7" s="101"/>
      <c r="S7" s="26">
        <v>6</v>
      </c>
      <c r="T7" s="27" t="s">
        <v>76</v>
      </c>
      <c r="U7" s="27" t="s">
        <v>76</v>
      </c>
      <c r="V7" s="27" t="s">
        <v>76</v>
      </c>
      <c r="W7" s="27" t="s">
        <v>76</v>
      </c>
      <c r="X7" s="27" t="s">
        <v>76</v>
      </c>
      <c r="Y7" s="27" t="s">
        <v>76</v>
      </c>
      <c r="Z7" s="27" t="s">
        <v>76</v>
      </c>
      <c r="AB7" s="26">
        <v>6</v>
      </c>
      <c r="AC7" s="27" t="s">
        <v>76</v>
      </c>
      <c r="AD7" s="27" t="s">
        <v>76</v>
      </c>
      <c r="AE7" s="27" t="s">
        <v>76</v>
      </c>
      <c r="AF7" s="27" t="s">
        <v>76</v>
      </c>
      <c r="AG7" s="27" t="s">
        <v>76</v>
      </c>
      <c r="AH7" s="27" t="s">
        <v>76</v>
      </c>
      <c r="AI7" s="27" t="s">
        <v>76</v>
      </c>
    </row>
    <row r="8" spans="1:35" x14ac:dyDescent="0.25">
      <c r="A8" s="3">
        <v>7</v>
      </c>
      <c r="B8" s="4" t="s">
        <v>50</v>
      </c>
      <c r="C8" s="5">
        <v>0.182574185835055</v>
      </c>
      <c r="D8" s="4">
        <v>4</v>
      </c>
      <c r="E8" s="4">
        <v>6</v>
      </c>
      <c r="F8" s="4">
        <v>5</v>
      </c>
      <c r="G8" s="4">
        <v>5</v>
      </c>
      <c r="H8" s="6">
        <v>44548.101343753427</v>
      </c>
      <c r="I8" s="7">
        <f t="shared" si="0"/>
        <v>44548.101343753427</v>
      </c>
      <c r="K8" s="22">
        <v>1</v>
      </c>
      <c r="L8" s="23">
        <v>5.4772255750516604E-3</v>
      </c>
      <c r="M8" s="3">
        <v>1</v>
      </c>
      <c r="O8" s="22">
        <v>1</v>
      </c>
      <c r="P8" s="24">
        <f t="shared" si="1"/>
        <v>10</v>
      </c>
      <c r="R8" s="101"/>
      <c r="S8" s="26">
        <v>5</v>
      </c>
      <c r="T8" s="27" t="s">
        <v>76</v>
      </c>
      <c r="U8" s="27" t="s">
        <v>76</v>
      </c>
      <c r="V8" s="27" t="s">
        <v>76</v>
      </c>
      <c r="W8" s="27" t="s">
        <v>76</v>
      </c>
      <c r="X8" s="27" t="s">
        <v>76</v>
      </c>
      <c r="Y8" s="27" t="s">
        <v>76</v>
      </c>
      <c r="Z8" s="27" t="s">
        <v>76</v>
      </c>
      <c r="AB8" s="26">
        <v>5</v>
      </c>
      <c r="AC8" s="27" t="s">
        <v>76</v>
      </c>
      <c r="AD8" s="27" t="s">
        <v>76</v>
      </c>
      <c r="AE8" s="27" t="s">
        <v>76</v>
      </c>
      <c r="AF8" s="27" t="s">
        <v>76</v>
      </c>
      <c r="AG8" s="27" t="s">
        <v>76</v>
      </c>
      <c r="AH8" s="27" t="s">
        <v>76</v>
      </c>
      <c r="AI8" s="27" t="s">
        <v>76</v>
      </c>
    </row>
    <row r="9" spans="1:35" x14ac:dyDescent="0.25">
      <c r="A9" s="3">
        <v>9</v>
      </c>
      <c r="B9" s="4" t="s">
        <v>54</v>
      </c>
      <c r="C9" s="5">
        <v>0.182574185835055</v>
      </c>
      <c r="D9" s="4">
        <v>6</v>
      </c>
      <c r="E9" s="4">
        <v>4</v>
      </c>
      <c r="F9" s="4">
        <v>4</v>
      </c>
      <c r="G9" s="4">
        <v>3</v>
      </c>
      <c r="H9" s="6">
        <v>73796.485914529228</v>
      </c>
      <c r="I9" s="7">
        <f t="shared" si="0"/>
        <v>73796.485914529228</v>
      </c>
      <c r="R9" s="101"/>
      <c r="S9" s="26">
        <v>4</v>
      </c>
      <c r="T9" s="27" t="s">
        <v>76</v>
      </c>
      <c r="U9" s="27" t="s">
        <v>76</v>
      </c>
      <c r="V9" s="27" t="s">
        <v>76</v>
      </c>
      <c r="W9" s="27" t="s">
        <v>76</v>
      </c>
      <c r="X9" s="27" t="s">
        <v>76</v>
      </c>
      <c r="Y9" s="27" t="s">
        <v>76</v>
      </c>
      <c r="Z9" s="27" t="s">
        <v>76</v>
      </c>
      <c r="AB9" s="26">
        <v>4</v>
      </c>
      <c r="AC9" s="27" t="s">
        <v>76</v>
      </c>
      <c r="AD9" s="27" t="s">
        <v>76</v>
      </c>
      <c r="AE9" s="27" t="s">
        <v>76</v>
      </c>
      <c r="AF9" s="27" t="s">
        <v>76</v>
      </c>
      <c r="AG9" s="27" t="s">
        <v>76</v>
      </c>
      <c r="AH9" s="27" t="s">
        <v>76</v>
      </c>
      <c r="AI9" s="27" t="s">
        <v>76</v>
      </c>
    </row>
    <row r="10" spans="1:35" x14ac:dyDescent="0.25">
      <c r="A10" s="3">
        <v>10</v>
      </c>
      <c r="B10" s="4" t="s">
        <v>58</v>
      </c>
      <c r="C10" s="5">
        <v>5.7735026918962602E-2</v>
      </c>
      <c r="D10" s="4">
        <v>5</v>
      </c>
      <c r="E10" s="4">
        <v>5</v>
      </c>
      <c r="F10" s="4">
        <v>5</v>
      </c>
      <c r="G10" s="4">
        <v>4</v>
      </c>
      <c r="H10" s="6">
        <v>4734.2722073549339</v>
      </c>
      <c r="I10" s="7">
        <f t="shared" si="0"/>
        <v>4734.2722073549339</v>
      </c>
      <c r="K10" s="99" t="s">
        <v>43</v>
      </c>
      <c r="L10" s="99"/>
      <c r="R10" s="101"/>
      <c r="S10" s="26">
        <v>3</v>
      </c>
      <c r="T10" s="27" t="s">
        <v>76</v>
      </c>
      <c r="U10" s="27" t="s">
        <v>76</v>
      </c>
      <c r="V10" s="27" t="s">
        <v>76</v>
      </c>
      <c r="W10" s="27" t="s">
        <v>76</v>
      </c>
      <c r="X10" s="27">
        <v>1</v>
      </c>
      <c r="Y10" s="27" t="s">
        <v>76</v>
      </c>
      <c r="Z10" s="27" t="s">
        <v>76</v>
      </c>
      <c r="AB10" s="26">
        <v>3</v>
      </c>
      <c r="AC10" s="27" t="s">
        <v>76</v>
      </c>
      <c r="AD10" s="27" t="s">
        <v>76</v>
      </c>
      <c r="AE10" s="27">
        <v>1</v>
      </c>
      <c r="AF10" s="27" t="s">
        <v>76</v>
      </c>
      <c r="AG10" s="27" t="s">
        <v>76</v>
      </c>
      <c r="AH10" s="27" t="s">
        <v>76</v>
      </c>
      <c r="AI10" s="27" t="s">
        <v>76</v>
      </c>
    </row>
    <row r="11" spans="1:35" x14ac:dyDescent="0.25">
      <c r="A11" s="3">
        <v>11</v>
      </c>
      <c r="B11" s="4" t="s">
        <v>62</v>
      </c>
      <c r="C11" s="5">
        <v>5.7735026918962602E-2</v>
      </c>
      <c r="D11" s="4">
        <v>4</v>
      </c>
      <c r="E11" s="4">
        <v>3</v>
      </c>
      <c r="F11" s="4">
        <v>3</v>
      </c>
      <c r="G11" s="4">
        <v>2</v>
      </c>
      <c r="H11" s="6">
        <v>255.18881898181468</v>
      </c>
      <c r="I11" s="7">
        <f t="shared" si="0"/>
        <v>255.18881898181468</v>
      </c>
      <c r="K11" s="2">
        <v>0.4</v>
      </c>
      <c r="L11" s="1" t="s">
        <v>17</v>
      </c>
      <c r="R11" s="101"/>
      <c r="S11" s="26">
        <v>2</v>
      </c>
      <c r="T11" s="27" t="s">
        <v>76</v>
      </c>
      <c r="U11" s="27" t="s">
        <v>76</v>
      </c>
      <c r="V11" s="27" t="s">
        <v>76</v>
      </c>
      <c r="W11" s="27" t="s">
        <v>76</v>
      </c>
      <c r="X11" s="27" t="s">
        <v>76</v>
      </c>
      <c r="Y11" s="27" t="s">
        <v>76</v>
      </c>
      <c r="Z11" s="27" t="s">
        <v>76</v>
      </c>
      <c r="AB11" s="26">
        <v>2</v>
      </c>
      <c r="AC11" s="27" t="s">
        <v>76</v>
      </c>
      <c r="AD11" s="27" t="s">
        <v>76</v>
      </c>
      <c r="AE11" s="27" t="s">
        <v>76</v>
      </c>
      <c r="AF11" s="27" t="s">
        <v>76</v>
      </c>
      <c r="AG11" s="27" t="s">
        <v>76</v>
      </c>
      <c r="AH11" s="27" t="s">
        <v>76</v>
      </c>
      <c r="AI11" s="27" t="s">
        <v>76</v>
      </c>
    </row>
    <row r="12" spans="1:35" x14ac:dyDescent="0.25">
      <c r="A12" s="3">
        <v>12</v>
      </c>
      <c r="B12" s="4" t="s">
        <v>63</v>
      </c>
      <c r="C12" s="5">
        <v>5.7735026918962602E-2</v>
      </c>
      <c r="D12" s="4">
        <v>6</v>
      </c>
      <c r="E12" s="4">
        <v>1</v>
      </c>
      <c r="F12" s="4">
        <v>2</v>
      </c>
      <c r="G12" s="4">
        <v>3</v>
      </c>
      <c r="H12" s="6">
        <v>23106.827943561053</v>
      </c>
      <c r="I12" s="7">
        <f t="shared" si="0"/>
        <v>23106.827943561053</v>
      </c>
      <c r="K12" s="2">
        <v>0.2</v>
      </c>
      <c r="L12" s="1" t="s">
        <v>18</v>
      </c>
      <c r="R12" s="101"/>
      <c r="S12" s="26">
        <v>1</v>
      </c>
      <c r="T12" s="27" t="s">
        <v>76</v>
      </c>
      <c r="U12" s="27" t="s">
        <v>76</v>
      </c>
      <c r="V12" s="27" t="s">
        <v>76</v>
      </c>
      <c r="W12" s="27" t="s">
        <v>76</v>
      </c>
      <c r="X12" s="27" t="s">
        <v>76</v>
      </c>
      <c r="Y12" s="27" t="s">
        <v>76</v>
      </c>
      <c r="Z12" s="27" t="s">
        <v>76</v>
      </c>
      <c r="AB12" s="26">
        <v>1</v>
      </c>
      <c r="AC12" s="27" t="s">
        <v>76</v>
      </c>
      <c r="AD12" s="27" t="s">
        <v>76</v>
      </c>
      <c r="AE12" s="27" t="s">
        <v>76</v>
      </c>
      <c r="AF12" s="27" t="s">
        <v>76</v>
      </c>
      <c r="AG12" s="27" t="s">
        <v>76</v>
      </c>
      <c r="AH12" s="27" t="s">
        <v>76</v>
      </c>
      <c r="AI12" s="27" t="s">
        <v>76</v>
      </c>
    </row>
    <row r="13" spans="1:35" x14ac:dyDescent="0.25">
      <c r="A13" s="3">
        <v>13</v>
      </c>
      <c r="B13" s="4" t="s">
        <v>45</v>
      </c>
      <c r="C13" s="5">
        <v>5.7735026918962602E-2</v>
      </c>
      <c r="D13" s="4">
        <v>6</v>
      </c>
      <c r="E13" s="4">
        <v>2</v>
      </c>
      <c r="F13" s="4">
        <v>2</v>
      </c>
      <c r="G13" s="4">
        <v>3</v>
      </c>
      <c r="H13" s="6">
        <v>23107.867174045594</v>
      </c>
      <c r="I13" s="7">
        <f t="shared" si="0"/>
        <v>23107.867174045594</v>
      </c>
      <c r="K13" s="2">
        <v>0.2</v>
      </c>
      <c r="L13" s="1" t="s">
        <v>19</v>
      </c>
      <c r="T13" s="28">
        <v>1</v>
      </c>
      <c r="U13" s="28">
        <v>2</v>
      </c>
      <c r="V13" s="28">
        <v>3</v>
      </c>
      <c r="W13" s="28">
        <v>4</v>
      </c>
      <c r="X13" s="28">
        <v>5</v>
      </c>
      <c r="Y13" s="28">
        <v>6</v>
      </c>
      <c r="Z13" s="28">
        <v>7</v>
      </c>
      <c r="AC13" s="28">
        <v>1</v>
      </c>
      <c r="AD13" s="28">
        <v>2</v>
      </c>
      <c r="AE13" s="28">
        <v>3</v>
      </c>
      <c r="AF13" s="28">
        <v>4</v>
      </c>
      <c r="AG13" s="28">
        <v>5</v>
      </c>
      <c r="AH13" s="28">
        <v>6</v>
      </c>
      <c r="AI13" s="28">
        <v>7</v>
      </c>
    </row>
    <row r="14" spans="1:35" x14ac:dyDescent="0.25">
      <c r="A14" s="3">
        <v>14</v>
      </c>
      <c r="B14" s="4" t="s">
        <v>52</v>
      </c>
      <c r="C14" s="5">
        <v>0.182574185835055</v>
      </c>
      <c r="D14" s="4">
        <v>6</v>
      </c>
      <c r="E14" s="4">
        <v>3</v>
      </c>
      <c r="F14" s="4">
        <v>3</v>
      </c>
      <c r="G14" s="4">
        <v>3</v>
      </c>
      <c r="H14" s="6">
        <v>73139.218845523035</v>
      </c>
      <c r="I14" s="7">
        <f t="shared" si="0"/>
        <v>73139.218845523035</v>
      </c>
      <c r="K14" s="2">
        <v>0.2</v>
      </c>
      <c r="L14" s="1" t="s">
        <v>0</v>
      </c>
      <c r="T14" s="98" t="s">
        <v>48</v>
      </c>
      <c r="U14" s="98"/>
      <c r="V14" s="98"/>
      <c r="W14" s="98"/>
      <c r="X14" s="98"/>
      <c r="Y14" s="98"/>
      <c r="Z14" s="98"/>
      <c r="AC14" s="98" t="s">
        <v>48</v>
      </c>
      <c r="AD14" s="98"/>
      <c r="AE14" s="98"/>
      <c r="AF14" s="98"/>
      <c r="AG14" s="98"/>
      <c r="AH14" s="98"/>
      <c r="AI14" s="98"/>
    </row>
    <row r="15" spans="1:35" x14ac:dyDescent="0.25">
      <c r="A15" s="3">
        <v>15</v>
      </c>
      <c r="B15" s="4" t="s">
        <v>53</v>
      </c>
      <c r="C15" s="5">
        <v>0.182574185835055</v>
      </c>
      <c r="D15" s="4">
        <v>4</v>
      </c>
      <c r="E15" s="4">
        <v>4</v>
      </c>
      <c r="F15" s="4">
        <v>5</v>
      </c>
      <c r="G15" s="4">
        <v>4</v>
      </c>
      <c r="H15" s="6">
        <v>5112.077203381541</v>
      </c>
      <c r="I15" s="7">
        <f t="shared" si="0"/>
        <v>5112.077203381541</v>
      </c>
    </row>
    <row r="16" spans="1:35" x14ac:dyDescent="0.25">
      <c r="A16" s="3">
        <v>16</v>
      </c>
      <c r="B16" s="4" t="s">
        <v>55</v>
      </c>
      <c r="C16" s="5">
        <v>1.8257418583505498E-2</v>
      </c>
      <c r="D16" s="4">
        <v>6</v>
      </c>
      <c r="E16" s="4">
        <v>7</v>
      </c>
      <c r="F16" s="4">
        <v>5</v>
      </c>
      <c r="G16" s="4">
        <v>5</v>
      </c>
      <c r="H16" s="6">
        <v>44548.10134375342</v>
      </c>
      <c r="I16" s="7">
        <f t="shared" si="0"/>
        <v>44548.10134375342</v>
      </c>
      <c r="T16" s="100" t="s">
        <v>18</v>
      </c>
      <c r="U16" s="100"/>
      <c r="V16" s="100"/>
      <c r="W16" s="100"/>
      <c r="X16" s="100"/>
      <c r="Y16" s="100"/>
      <c r="Z16" s="100"/>
      <c r="AC16" s="100" t="s">
        <v>51</v>
      </c>
      <c r="AD16" s="100"/>
      <c r="AE16" s="100"/>
      <c r="AF16" s="100"/>
      <c r="AG16" s="100"/>
      <c r="AH16" s="100"/>
      <c r="AI16" s="100"/>
    </row>
    <row r="17" spans="1:35" x14ac:dyDescent="0.25">
      <c r="A17" s="3">
        <v>17</v>
      </c>
      <c r="B17" s="4" t="s">
        <v>56</v>
      </c>
      <c r="C17" s="5">
        <v>1.8257418583505498E-2</v>
      </c>
      <c r="D17" s="4">
        <v>6</v>
      </c>
      <c r="E17" s="4">
        <v>7</v>
      </c>
      <c r="F17" s="4">
        <v>5</v>
      </c>
      <c r="G17" s="4">
        <v>5</v>
      </c>
      <c r="H17" s="6">
        <v>44548.10134375342</v>
      </c>
      <c r="I17" s="7">
        <f t="shared" si="0"/>
        <v>44548.10134375342</v>
      </c>
      <c r="R17" s="101" t="s">
        <v>1</v>
      </c>
      <c r="S17" s="26">
        <v>7</v>
      </c>
      <c r="T17" s="27" t="s">
        <v>76</v>
      </c>
      <c r="U17" s="27" t="s">
        <v>76</v>
      </c>
      <c r="V17" s="27" t="s">
        <v>76</v>
      </c>
      <c r="W17" s="27" t="s">
        <v>76</v>
      </c>
      <c r="X17" s="27" t="s">
        <v>76</v>
      </c>
      <c r="Y17" s="27" t="s">
        <v>76</v>
      </c>
      <c r="Z17" s="27" t="s">
        <v>76</v>
      </c>
      <c r="AB17" s="26">
        <v>7</v>
      </c>
      <c r="AC17" s="27" t="s">
        <v>76</v>
      </c>
      <c r="AD17" s="27" t="s">
        <v>76</v>
      </c>
      <c r="AE17" s="27" t="s">
        <v>76</v>
      </c>
      <c r="AF17" s="27" t="s">
        <v>76</v>
      </c>
      <c r="AG17" s="27" t="s">
        <v>76</v>
      </c>
      <c r="AH17" s="27" t="s">
        <v>76</v>
      </c>
      <c r="AI17" s="27" t="s">
        <v>76</v>
      </c>
    </row>
    <row r="18" spans="1:35" x14ac:dyDescent="0.25">
      <c r="A18" s="3">
        <v>18</v>
      </c>
      <c r="B18" s="4" t="s">
        <v>57</v>
      </c>
      <c r="C18" s="5">
        <v>5.7735026918962602E-2</v>
      </c>
      <c r="D18" s="4">
        <v>5</v>
      </c>
      <c r="E18" s="4">
        <v>3</v>
      </c>
      <c r="F18" s="4">
        <v>3</v>
      </c>
      <c r="G18" s="4">
        <v>3</v>
      </c>
      <c r="H18" s="6">
        <v>2344.0420929098818</v>
      </c>
      <c r="I18" s="7">
        <f t="shared" si="0"/>
        <v>2344.0420929098818</v>
      </c>
      <c r="R18" s="101"/>
      <c r="S18" s="26">
        <v>6</v>
      </c>
      <c r="T18" s="27" t="s">
        <v>76</v>
      </c>
      <c r="U18" s="27" t="s">
        <v>76</v>
      </c>
      <c r="V18" s="27" t="s">
        <v>76</v>
      </c>
      <c r="W18" s="27" t="s">
        <v>76</v>
      </c>
      <c r="X18" s="27" t="s">
        <v>76</v>
      </c>
      <c r="Y18" s="27" t="s">
        <v>76</v>
      </c>
      <c r="Z18" s="27" t="s">
        <v>76</v>
      </c>
      <c r="AB18" s="26">
        <v>6</v>
      </c>
      <c r="AC18" s="27" t="s">
        <v>76</v>
      </c>
      <c r="AD18" s="27" t="s">
        <v>76</v>
      </c>
      <c r="AE18" s="27" t="s">
        <v>76</v>
      </c>
      <c r="AF18" s="27" t="s">
        <v>76</v>
      </c>
      <c r="AG18" s="27" t="s">
        <v>76</v>
      </c>
      <c r="AH18" s="27" t="s">
        <v>76</v>
      </c>
      <c r="AI18" s="27" t="s">
        <v>76</v>
      </c>
    </row>
    <row r="19" spans="1:35" x14ac:dyDescent="0.25">
      <c r="A19" s="3">
        <v>19</v>
      </c>
      <c r="B19" s="4" t="s">
        <v>73</v>
      </c>
      <c r="C19" s="5">
        <v>1.8257418583505498E-2</v>
      </c>
      <c r="D19" s="4">
        <v>6</v>
      </c>
      <c r="E19" s="4">
        <v>4</v>
      </c>
      <c r="F19" s="4">
        <v>3</v>
      </c>
      <c r="G19" s="4">
        <v>4</v>
      </c>
      <c r="H19" s="6">
        <v>7379.6485914529239</v>
      </c>
      <c r="I19" s="7">
        <f t="shared" si="0"/>
        <v>7379.6485914529239</v>
      </c>
      <c r="R19" s="101"/>
      <c r="S19" s="26">
        <v>5</v>
      </c>
      <c r="T19" s="27" t="s">
        <v>76</v>
      </c>
      <c r="U19" s="27" t="s">
        <v>76</v>
      </c>
      <c r="V19" s="27" t="s">
        <v>76</v>
      </c>
      <c r="W19" s="27" t="s">
        <v>76</v>
      </c>
      <c r="X19" s="27" t="s">
        <v>76</v>
      </c>
      <c r="Y19" s="27" t="s">
        <v>76</v>
      </c>
      <c r="Z19" s="27" t="s">
        <v>76</v>
      </c>
      <c r="AB19" s="26">
        <v>5</v>
      </c>
      <c r="AC19" s="27" t="s">
        <v>76</v>
      </c>
      <c r="AD19" s="27" t="s">
        <v>76</v>
      </c>
      <c r="AE19" s="27" t="s">
        <v>76</v>
      </c>
      <c r="AF19" s="27" t="s">
        <v>76</v>
      </c>
      <c r="AG19" s="27" t="s">
        <v>76</v>
      </c>
      <c r="AH19" s="27" t="s">
        <v>76</v>
      </c>
      <c r="AI19" s="27" t="s">
        <v>76</v>
      </c>
    </row>
    <row r="20" spans="1:35" x14ac:dyDescent="0.25">
      <c r="A20" s="3">
        <v>20</v>
      </c>
      <c r="B20" s="4" t="s">
        <v>60</v>
      </c>
      <c r="C20" s="5">
        <v>0.57735026918962595</v>
      </c>
      <c r="D20" s="4">
        <v>7</v>
      </c>
      <c r="E20" s="4">
        <v>6</v>
      </c>
      <c r="F20" s="4">
        <v>5</v>
      </c>
      <c r="G20" s="4">
        <v>6</v>
      </c>
      <c r="H20" s="6">
        <v>2551888.1898181466</v>
      </c>
      <c r="I20" s="7">
        <f t="shared" si="0"/>
        <v>2551888.1898181466</v>
      </c>
      <c r="R20" s="101"/>
      <c r="S20" s="26">
        <v>4</v>
      </c>
      <c r="T20" s="27" t="s">
        <v>76</v>
      </c>
      <c r="U20" s="27" t="s">
        <v>76</v>
      </c>
      <c r="V20" s="27" t="s">
        <v>76</v>
      </c>
      <c r="W20" s="27" t="s">
        <v>76</v>
      </c>
      <c r="X20" s="27" t="s">
        <v>76</v>
      </c>
      <c r="Y20" s="27" t="s">
        <v>76</v>
      </c>
      <c r="Z20" s="27" t="s">
        <v>76</v>
      </c>
      <c r="AB20" s="26">
        <v>4</v>
      </c>
      <c r="AC20" s="27" t="s">
        <v>76</v>
      </c>
      <c r="AD20" s="27" t="s">
        <v>76</v>
      </c>
      <c r="AE20" s="27" t="s">
        <v>76</v>
      </c>
      <c r="AF20" s="27" t="s">
        <v>76</v>
      </c>
      <c r="AG20" s="27" t="s">
        <v>76</v>
      </c>
      <c r="AH20" s="27" t="s">
        <v>76</v>
      </c>
      <c r="AI20" s="27" t="s">
        <v>76</v>
      </c>
    </row>
    <row r="21" spans="1:35" x14ac:dyDescent="0.25">
      <c r="A21" s="3">
        <v>21</v>
      </c>
      <c r="B21" s="4" t="s">
        <v>33</v>
      </c>
      <c r="C21" s="5">
        <v>0.57735026918962595</v>
      </c>
      <c r="D21" s="4">
        <v>6</v>
      </c>
      <c r="E21" s="4">
        <v>4</v>
      </c>
      <c r="F21" s="4">
        <v>3</v>
      </c>
      <c r="G21" s="4">
        <v>4</v>
      </c>
      <c r="H21" s="6">
        <v>233364.97880644683</v>
      </c>
      <c r="I21" s="7">
        <f t="shared" si="0"/>
        <v>233364.97880644683</v>
      </c>
      <c r="R21" s="101"/>
      <c r="S21" s="26">
        <v>3</v>
      </c>
      <c r="T21" s="27" t="s">
        <v>76</v>
      </c>
      <c r="U21" s="27" t="s">
        <v>76</v>
      </c>
      <c r="V21" s="27">
        <v>1</v>
      </c>
      <c r="W21" s="27" t="s">
        <v>76</v>
      </c>
      <c r="X21" s="27" t="s">
        <v>76</v>
      </c>
      <c r="Y21" s="27" t="s">
        <v>76</v>
      </c>
      <c r="Z21" s="27" t="s">
        <v>76</v>
      </c>
      <c r="AB21" s="26">
        <v>3</v>
      </c>
      <c r="AC21" s="27" t="s">
        <v>76</v>
      </c>
      <c r="AD21" s="27" t="s">
        <v>76</v>
      </c>
      <c r="AE21" s="27">
        <v>1</v>
      </c>
      <c r="AF21" s="27" t="s">
        <v>76</v>
      </c>
      <c r="AG21" s="27" t="s">
        <v>76</v>
      </c>
      <c r="AH21" s="27" t="s">
        <v>76</v>
      </c>
      <c r="AI21" s="27" t="s">
        <v>76</v>
      </c>
    </row>
    <row r="22" spans="1:35" x14ac:dyDescent="0.25">
      <c r="A22" s="3">
        <v>22</v>
      </c>
      <c r="B22" s="4" t="s">
        <v>34</v>
      </c>
      <c r="C22" s="5">
        <v>5.7735026918962602E-2</v>
      </c>
      <c r="D22" s="4">
        <v>6</v>
      </c>
      <c r="E22" s="4">
        <v>5</v>
      </c>
      <c r="F22" s="4">
        <v>5</v>
      </c>
      <c r="G22" s="4">
        <v>6</v>
      </c>
      <c r="H22" s="6">
        <v>36950.417228136066</v>
      </c>
      <c r="I22" s="7">
        <f t="shared" si="0"/>
        <v>36950.417228136066</v>
      </c>
      <c r="R22" s="101"/>
      <c r="S22" s="26">
        <v>2</v>
      </c>
      <c r="T22" s="27" t="s">
        <v>76</v>
      </c>
      <c r="U22" s="27" t="s">
        <v>76</v>
      </c>
      <c r="V22" s="27" t="s">
        <v>76</v>
      </c>
      <c r="W22" s="27" t="s">
        <v>76</v>
      </c>
      <c r="X22" s="27" t="s">
        <v>76</v>
      </c>
      <c r="Y22" s="27" t="s">
        <v>76</v>
      </c>
      <c r="Z22" s="27" t="s">
        <v>76</v>
      </c>
      <c r="AB22" s="26">
        <v>2</v>
      </c>
      <c r="AC22" s="27" t="s">
        <v>76</v>
      </c>
      <c r="AD22" s="27" t="s">
        <v>76</v>
      </c>
      <c r="AE22" s="27" t="s">
        <v>76</v>
      </c>
      <c r="AF22" s="27" t="s">
        <v>76</v>
      </c>
      <c r="AG22" s="27" t="s">
        <v>76</v>
      </c>
      <c r="AH22" s="27" t="s">
        <v>76</v>
      </c>
      <c r="AI22" s="27" t="s">
        <v>76</v>
      </c>
    </row>
    <row r="23" spans="1:35" x14ac:dyDescent="0.25">
      <c r="A23" s="3">
        <v>23</v>
      </c>
      <c r="B23" s="4" t="s">
        <v>35</v>
      </c>
      <c r="C23" s="5">
        <v>5.7735026918962602E-2</v>
      </c>
      <c r="D23" s="4">
        <v>5</v>
      </c>
      <c r="E23" s="4">
        <v>3</v>
      </c>
      <c r="F23" s="4">
        <v>3</v>
      </c>
      <c r="G23" s="4">
        <v>3</v>
      </c>
      <c r="H23" s="6">
        <v>2344.0420929098818</v>
      </c>
      <c r="I23" s="7">
        <f t="shared" si="0"/>
        <v>2344.0420929098818</v>
      </c>
      <c r="R23" s="101"/>
      <c r="S23" s="26">
        <v>1</v>
      </c>
      <c r="T23" s="27" t="s">
        <v>76</v>
      </c>
      <c r="U23" s="27" t="s">
        <v>76</v>
      </c>
      <c r="V23" s="27" t="s">
        <v>76</v>
      </c>
      <c r="W23" s="27" t="s">
        <v>76</v>
      </c>
      <c r="X23" s="27" t="s">
        <v>76</v>
      </c>
      <c r="Y23" s="27" t="s">
        <v>76</v>
      </c>
      <c r="Z23" s="27" t="s">
        <v>76</v>
      </c>
      <c r="AB23" s="26">
        <v>1</v>
      </c>
      <c r="AC23" s="27" t="s">
        <v>76</v>
      </c>
      <c r="AD23" s="27" t="s">
        <v>76</v>
      </c>
      <c r="AE23" s="27" t="s">
        <v>76</v>
      </c>
      <c r="AF23" s="27" t="s">
        <v>76</v>
      </c>
      <c r="AG23" s="27" t="s">
        <v>76</v>
      </c>
      <c r="AH23" s="27" t="s">
        <v>76</v>
      </c>
      <c r="AI23" s="27" t="s">
        <v>76</v>
      </c>
    </row>
    <row r="24" spans="1:35" x14ac:dyDescent="0.25">
      <c r="A24" s="3">
        <v>24</v>
      </c>
      <c r="B24" s="4" t="s">
        <v>37</v>
      </c>
      <c r="C24" s="5">
        <v>1.8257418583505498E-2</v>
      </c>
      <c r="D24" s="4">
        <v>5</v>
      </c>
      <c r="E24" s="4">
        <v>5</v>
      </c>
      <c r="F24" s="4">
        <v>5</v>
      </c>
      <c r="G24" s="4">
        <v>5</v>
      </c>
      <c r="H24" s="6">
        <v>1825.74185835055</v>
      </c>
      <c r="I24" s="7">
        <f t="shared" si="0"/>
        <v>1825.74185835055</v>
      </c>
      <c r="T24" s="28">
        <v>1</v>
      </c>
      <c r="U24" s="28">
        <v>2</v>
      </c>
      <c r="V24" s="28">
        <v>3</v>
      </c>
      <c r="W24" s="28">
        <v>4</v>
      </c>
      <c r="X24" s="28">
        <v>5</v>
      </c>
      <c r="Y24" s="28">
        <v>6</v>
      </c>
      <c r="Z24" s="28">
        <v>7</v>
      </c>
      <c r="AC24" s="28">
        <v>1</v>
      </c>
      <c r="AD24" s="28">
        <v>2</v>
      </c>
      <c r="AE24" s="28">
        <v>3</v>
      </c>
      <c r="AF24" s="28">
        <v>4</v>
      </c>
      <c r="AG24" s="28">
        <v>5</v>
      </c>
      <c r="AH24" s="28">
        <v>6</v>
      </c>
      <c r="AI24" s="28">
        <v>7</v>
      </c>
    </row>
    <row r="25" spans="1:35" x14ac:dyDescent="0.25">
      <c r="A25" s="3">
        <v>25</v>
      </c>
      <c r="B25" s="4" t="s">
        <v>40</v>
      </c>
      <c r="C25" s="5">
        <v>5.7735026918962602E-2</v>
      </c>
      <c r="D25" s="4">
        <v>5</v>
      </c>
      <c r="E25" s="4">
        <v>6</v>
      </c>
      <c r="F25" s="4">
        <v>4</v>
      </c>
      <c r="G25" s="4">
        <v>4</v>
      </c>
      <c r="H25" s="6">
        <v>14087.346568226876</v>
      </c>
      <c r="I25" s="7">
        <f t="shared" si="0"/>
        <v>14087.346568226876</v>
      </c>
      <c r="T25" s="98" t="s">
        <v>48</v>
      </c>
      <c r="U25" s="98"/>
      <c r="V25" s="98"/>
      <c r="W25" s="98"/>
      <c r="X25" s="98"/>
      <c r="Y25" s="98"/>
      <c r="Z25" s="98"/>
      <c r="AC25" s="98" t="s">
        <v>48</v>
      </c>
      <c r="AD25" s="98"/>
      <c r="AE25" s="98"/>
      <c r="AF25" s="98"/>
      <c r="AG25" s="98"/>
      <c r="AH25" s="98"/>
      <c r="AI25" s="98"/>
    </row>
    <row r="26" spans="1:35" x14ac:dyDescent="0.25">
      <c r="A26" s="3">
        <v>26</v>
      </c>
      <c r="B26" s="4" t="s">
        <v>46</v>
      </c>
      <c r="C26" s="5">
        <v>0.57735026918962595</v>
      </c>
      <c r="D26" s="4">
        <v>6</v>
      </c>
      <c r="E26" s="4">
        <v>4</v>
      </c>
      <c r="F26" s="4">
        <v>3</v>
      </c>
      <c r="G26" s="4">
        <v>4</v>
      </c>
      <c r="H26" s="6">
        <v>233364.97880644683</v>
      </c>
      <c r="I26" s="7">
        <f t="shared" si="0"/>
        <v>233364.97880644683</v>
      </c>
    </row>
    <row r="27" spans="1:35" ht="18" x14ac:dyDescent="0.25">
      <c r="A27" s="3">
        <v>27</v>
      </c>
      <c r="B27" s="4" t="s">
        <v>47</v>
      </c>
      <c r="C27" s="5">
        <v>1.8257418583505498E-2</v>
      </c>
      <c r="D27" s="4">
        <v>6</v>
      </c>
      <c r="E27" s="4">
        <v>4</v>
      </c>
      <c r="F27" s="4">
        <v>5</v>
      </c>
      <c r="G27" s="4">
        <v>6</v>
      </c>
      <c r="H27" s="6">
        <v>11356.11435894042</v>
      </c>
      <c r="I27" s="7">
        <f t="shared" si="0"/>
        <v>11356.11435894042</v>
      </c>
      <c r="T27" s="9" t="s">
        <v>61</v>
      </c>
    </row>
    <row r="28" spans="1:35" x14ac:dyDescent="0.25">
      <c r="A28" s="3">
        <v>28</v>
      </c>
      <c r="B28" s="4" t="s">
        <v>49</v>
      </c>
      <c r="C28" s="5">
        <v>5.7735026918962602E-2</v>
      </c>
      <c r="D28" s="4">
        <v>5</v>
      </c>
      <c r="E28" s="4">
        <v>3</v>
      </c>
      <c r="F28" s="4">
        <v>3</v>
      </c>
      <c r="G28" s="4">
        <v>3</v>
      </c>
      <c r="H28" s="6">
        <v>2344.04209290988</v>
      </c>
      <c r="I28" s="7">
        <f t="shared" si="0"/>
        <v>2344.0420929098818</v>
      </c>
      <c r="T28" s="100" t="s">
        <v>17</v>
      </c>
      <c r="U28" s="100"/>
      <c r="V28" s="100"/>
      <c r="W28" s="100"/>
      <c r="X28" s="100"/>
      <c r="Y28" s="100"/>
      <c r="Z28" s="100"/>
      <c r="AC28" s="100" t="s">
        <v>19</v>
      </c>
      <c r="AD28" s="100"/>
      <c r="AE28" s="100"/>
      <c r="AF28" s="100"/>
      <c r="AG28" s="100"/>
      <c r="AH28" s="100"/>
      <c r="AI28" s="100"/>
    </row>
    <row r="29" spans="1:35" x14ac:dyDescent="0.25">
      <c r="B29" s="4" t="s">
        <v>59</v>
      </c>
      <c r="C29" s="5">
        <v>5.7735026918962602E-2</v>
      </c>
      <c r="D29" s="4">
        <v>4</v>
      </c>
      <c r="E29" s="4">
        <v>1</v>
      </c>
      <c r="F29" s="4">
        <v>5</v>
      </c>
      <c r="G29" s="4">
        <v>4</v>
      </c>
      <c r="H29" s="6">
        <v>1501.2261699468656</v>
      </c>
      <c r="I29" s="7">
        <f t="shared" si="0"/>
        <v>1501.2261699468656</v>
      </c>
      <c r="R29" s="101" t="s">
        <v>1</v>
      </c>
      <c r="S29" s="26">
        <v>7</v>
      </c>
      <c r="T29" s="27" t="s">
        <v>76</v>
      </c>
      <c r="U29" s="27" t="s">
        <v>76</v>
      </c>
      <c r="V29" s="27" t="s">
        <v>76</v>
      </c>
      <c r="W29" s="27" t="s">
        <v>76</v>
      </c>
      <c r="X29" s="27" t="s">
        <v>76</v>
      </c>
      <c r="Y29" s="27" t="s">
        <v>76</v>
      </c>
      <c r="Z29" s="27" t="s">
        <v>76</v>
      </c>
      <c r="AB29" s="26">
        <v>7</v>
      </c>
      <c r="AC29" s="27" t="s">
        <v>76</v>
      </c>
      <c r="AD29" s="27" t="s">
        <v>76</v>
      </c>
      <c r="AE29" s="27" t="s">
        <v>76</v>
      </c>
      <c r="AF29" s="27" t="s">
        <v>76</v>
      </c>
      <c r="AG29" s="27" t="s">
        <v>76</v>
      </c>
      <c r="AH29" s="27" t="s">
        <v>76</v>
      </c>
      <c r="AI29" s="27" t="s">
        <v>76</v>
      </c>
    </row>
    <row r="30" spans="1:35" x14ac:dyDescent="0.25">
      <c r="R30" s="101"/>
      <c r="S30" s="26">
        <v>6</v>
      </c>
      <c r="T30" s="27" t="s">
        <v>76</v>
      </c>
      <c r="U30" s="27" t="s">
        <v>76</v>
      </c>
      <c r="V30" s="27" t="s">
        <v>76</v>
      </c>
      <c r="W30" s="27" t="s">
        <v>76</v>
      </c>
      <c r="X30" s="27" t="s">
        <v>76</v>
      </c>
      <c r="Y30" s="27" t="s">
        <v>76</v>
      </c>
      <c r="Z30" s="27" t="s">
        <v>76</v>
      </c>
      <c r="AB30" s="26">
        <v>6</v>
      </c>
      <c r="AC30" s="27" t="s">
        <v>76</v>
      </c>
      <c r="AD30" s="27" t="s">
        <v>76</v>
      </c>
      <c r="AE30" s="27" t="s">
        <v>76</v>
      </c>
      <c r="AF30" s="27" t="s">
        <v>76</v>
      </c>
      <c r="AG30" s="27" t="s">
        <v>76</v>
      </c>
      <c r="AH30" s="27" t="s">
        <v>76</v>
      </c>
      <c r="AI30" s="27" t="s">
        <v>76</v>
      </c>
    </row>
    <row r="31" spans="1:35" x14ac:dyDescent="0.25">
      <c r="R31" s="101"/>
      <c r="S31" s="26">
        <v>5</v>
      </c>
      <c r="T31" s="27" t="s">
        <v>76</v>
      </c>
      <c r="U31" s="27" t="s">
        <v>76</v>
      </c>
      <c r="V31" s="27" t="s">
        <v>76</v>
      </c>
      <c r="W31" s="27" t="s">
        <v>76</v>
      </c>
      <c r="X31" s="27" t="s">
        <v>76</v>
      </c>
      <c r="Y31" s="27" t="s">
        <v>76</v>
      </c>
      <c r="Z31" s="27" t="s">
        <v>76</v>
      </c>
      <c r="AB31" s="26">
        <v>5</v>
      </c>
      <c r="AC31" s="27" t="s">
        <v>76</v>
      </c>
      <c r="AD31" s="27" t="s">
        <v>76</v>
      </c>
      <c r="AE31" s="27" t="s">
        <v>76</v>
      </c>
      <c r="AF31" s="27" t="s">
        <v>76</v>
      </c>
      <c r="AG31" s="27" t="s">
        <v>76</v>
      </c>
      <c r="AH31" s="27" t="s">
        <v>76</v>
      </c>
      <c r="AI31" s="27" t="s">
        <v>76</v>
      </c>
    </row>
    <row r="32" spans="1:35" x14ac:dyDescent="0.25">
      <c r="R32" s="101"/>
      <c r="S32" s="26">
        <v>4</v>
      </c>
      <c r="T32" s="27" t="s">
        <v>76</v>
      </c>
      <c r="U32" s="27" t="s">
        <v>76</v>
      </c>
      <c r="V32" s="27" t="s">
        <v>76</v>
      </c>
      <c r="W32" s="27" t="s">
        <v>76</v>
      </c>
      <c r="X32" s="27" t="s">
        <v>76</v>
      </c>
      <c r="Y32" s="27" t="s">
        <v>76</v>
      </c>
      <c r="Z32" s="27" t="s">
        <v>76</v>
      </c>
      <c r="AB32" s="26">
        <v>4</v>
      </c>
      <c r="AC32" s="27" t="s">
        <v>76</v>
      </c>
      <c r="AD32" s="27" t="s">
        <v>76</v>
      </c>
      <c r="AE32" s="27" t="s">
        <v>76</v>
      </c>
      <c r="AF32" s="27" t="s">
        <v>76</v>
      </c>
      <c r="AG32" s="27" t="s">
        <v>76</v>
      </c>
      <c r="AH32" s="27" t="s">
        <v>76</v>
      </c>
      <c r="AI32" s="27" t="s">
        <v>76</v>
      </c>
    </row>
    <row r="33" spans="18:35" x14ac:dyDescent="0.25">
      <c r="R33" s="101"/>
      <c r="S33" s="26">
        <v>3</v>
      </c>
      <c r="T33" s="27" t="s">
        <v>76</v>
      </c>
      <c r="U33" s="27" t="s">
        <v>76</v>
      </c>
      <c r="V33" s="27" t="s">
        <v>76</v>
      </c>
      <c r="W33" s="27" t="s">
        <v>76</v>
      </c>
      <c r="X33" s="27">
        <v>1</v>
      </c>
      <c r="Y33" s="27" t="s">
        <v>76</v>
      </c>
      <c r="Z33" s="27" t="s">
        <v>76</v>
      </c>
      <c r="AB33" s="26">
        <v>3</v>
      </c>
      <c r="AC33" s="27" t="s">
        <v>76</v>
      </c>
      <c r="AD33" s="27" t="s">
        <v>76</v>
      </c>
      <c r="AE33" s="27">
        <v>1</v>
      </c>
      <c r="AF33" s="27" t="s">
        <v>76</v>
      </c>
      <c r="AG33" s="27" t="s">
        <v>76</v>
      </c>
      <c r="AH33" s="27" t="s">
        <v>76</v>
      </c>
      <c r="AI33" s="27" t="s">
        <v>76</v>
      </c>
    </row>
    <row r="34" spans="18:35" x14ac:dyDescent="0.25">
      <c r="R34" s="101"/>
      <c r="S34" s="26">
        <v>2</v>
      </c>
      <c r="T34" s="27" t="s">
        <v>76</v>
      </c>
      <c r="U34" s="27" t="s">
        <v>76</v>
      </c>
      <c r="V34" s="27" t="s">
        <v>76</v>
      </c>
      <c r="W34" s="27" t="s">
        <v>76</v>
      </c>
      <c r="X34" s="27" t="s">
        <v>76</v>
      </c>
      <c r="Y34" s="27" t="s">
        <v>76</v>
      </c>
      <c r="Z34" s="27" t="s">
        <v>76</v>
      </c>
      <c r="AB34" s="26">
        <v>2</v>
      </c>
      <c r="AC34" s="27" t="s">
        <v>76</v>
      </c>
      <c r="AD34" s="27" t="s">
        <v>76</v>
      </c>
      <c r="AE34" s="27" t="s">
        <v>76</v>
      </c>
      <c r="AF34" s="27" t="s">
        <v>76</v>
      </c>
      <c r="AG34" s="27" t="s">
        <v>76</v>
      </c>
      <c r="AH34" s="27" t="s">
        <v>76</v>
      </c>
      <c r="AI34" s="27" t="s">
        <v>76</v>
      </c>
    </row>
    <row r="35" spans="18:35" x14ac:dyDescent="0.25">
      <c r="R35" s="101"/>
      <c r="S35" s="26">
        <v>1</v>
      </c>
      <c r="T35" s="27" t="s">
        <v>76</v>
      </c>
      <c r="U35" s="27" t="s">
        <v>76</v>
      </c>
      <c r="V35" s="27" t="s">
        <v>76</v>
      </c>
      <c r="W35" s="27" t="s">
        <v>76</v>
      </c>
      <c r="X35" s="27" t="s">
        <v>76</v>
      </c>
      <c r="Y35" s="27" t="s">
        <v>76</v>
      </c>
      <c r="Z35" s="27" t="s">
        <v>76</v>
      </c>
      <c r="AB35" s="26">
        <v>1</v>
      </c>
      <c r="AC35" s="27" t="s">
        <v>76</v>
      </c>
      <c r="AD35" s="27" t="s">
        <v>76</v>
      </c>
      <c r="AE35" s="27" t="s">
        <v>76</v>
      </c>
      <c r="AF35" s="27" t="s">
        <v>76</v>
      </c>
      <c r="AG35" s="27" t="s">
        <v>76</v>
      </c>
      <c r="AH35" s="27" t="s">
        <v>76</v>
      </c>
      <c r="AI35" s="27" t="s">
        <v>76</v>
      </c>
    </row>
    <row r="36" spans="18:35" x14ac:dyDescent="0.25">
      <c r="T36" s="28">
        <v>1</v>
      </c>
      <c r="U36" s="28">
        <v>2</v>
      </c>
      <c r="V36" s="28">
        <v>3</v>
      </c>
      <c r="W36" s="28">
        <v>4</v>
      </c>
      <c r="X36" s="28">
        <v>5</v>
      </c>
      <c r="Y36" s="28">
        <v>6</v>
      </c>
      <c r="Z36" s="28">
        <v>7</v>
      </c>
      <c r="AC36" s="28">
        <v>1</v>
      </c>
      <c r="AD36" s="28">
        <v>2</v>
      </c>
      <c r="AE36" s="28">
        <v>3</v>
      </c>
      <c r="AF36" s="28">
        <v>4</v>
      </c>
      <c r="AG36" s="28">
        <v>5</v>
      </c>
      <c r="AH36" s="28">
        <v>6</v>
      </c>
      <c r="AI36" s="28">
        <v>7</v>
      </c>
    </row>
    <row r="37" spans="18:35" x14ac:dyDescent="0.25">
      <c r="T37" s="98" t="s">
        <v>48</v>
      </c>
      <c r="U37" s="98"/>
      <c r="V37" s="98"/>
      <c r="W37" s="98"/>
      <c r="X37" s="98"/>
      <c r="Y37" s="98"/>
      <c r="Z37" s="98"/>
      <c r="AC37" s="98" t="s">
        <v>48</v>
      </c>
      <c r="AD37" s="98"/>
      <c r="AE37" s="98"/>
      <c r="AF37" s="98"/>
      <c r="AG37" s="98"/>
      <c r="AH37" s="98"/>
      <c r="AI37" s="98"/>
    </row>
    <row r="39" spans="18:35" x14ac:dyDescent="0.25">
      <c r="T39" s="100" t="s">
        <v>18</v>
      </c>
      <c r="U39" s="100"/>
      <c r="V39" s="100"/>
      <c r="W39" s="100"/>
      <c r="X39" s="100"/>
      <c r="Y39" s="100"/>
      <c r="Z39" s="100"/>
      <c r="AC39" s="100" t="s">
        <v>51</v>
      </c>
      <c r="AD39" s="100"/>
      <c r="AE39" s="100"/>
      <c r="AF39" s="100"/>
      <c r="AG39" s="100"/>
      <c r="AH39" s="100"/>
      <c r="AI39" s="100"/>
    </row>
    <row r="40" spans="18:35" x14ac:dyDescent="0.25">
      <c r="R40" s="101" t="s">
        <v>1</v>
      </c>
      <c r="S40" s="26">
        <v>7</v>
      </c>
      <c r="T40" s="27" t="s">
        <v>76</v>
      </c>
      <c r="U40" s="27" t="s">
        <v>76</v>
      </c>
      <c r="V40" s="27" t="s">
        <v>76</v>
      </c>
      <c r="W40" s="27" t="s">
        <v>76</v>
      </c>
      <c r="X40" s="27" t="s">
        <v>76</v>
      </c>
      <c r="Y40" s="27" t="s">
        <v>76</v>
      </c>
      <c r="Z40" s="27" t="s">
        <v>76</v>
      </c>
      <c r="AB40" s="26">
        <v>7</v>
      </c>
      <c r="AC40" s="27" t="s">
        <v>76</v>
      </c>
      <c r="AD40" s="27" t="s">
        <v>76</v>
      </c>
      <c r="AE40" s="27" t="s">
        <v>76</v>
      </c>
      <c r="AF40" s="27" t="s">
        <v>76</v>
      </c>
      <c r="AG40" s="27" t="s">
        <v>76</v>
      </c>
      <c r="AH40" s="27" t="s">
        <v>76</v>
      </c>
      <c r="AI40" s="27" t="s">
        <v>76</v>
      </c>
    </row>
    <row r="41" spans="18:35" x14ac:dyDescent="0.25">
      <c r="R41" s="101"/>
      <c r="S41" s="26">
        <v>6</v>
      </c>
      <c r="T41" s="27" t="s">
        <v>76</v>
      </c>
      <c r="U41" s="27" t="s">
        <v>76</v>
      </c>
      <c r="V41" s="27" t="s">
        <v>76</v>
      </c>
      <c r="W41" s="27" t="s">
        <v>76</v>
      </c>
      <c r="X41" s="27" t="s">
        <v>76</v>
      </c>
      <c r="Y41" s="27" t="s">
        <v>76</v>
      </c>
      <c r="Z41" s="27" t="s">
        <v>76</v>
      </c>
      <c r="AB41" s="26">
        <v>6</v>
      </c>
      <c r="AC41" s="27" t="s">
        <v>76</v>
      </c>
      <c r="AD41" s="27" t="s">
        <v>76</v>
      </c>
      <c r="AE41" s="27" t="s">
        <v>76</v>
      </c>
      <c r="AF41" s="27" t="s">
        <v>76</v>
      </c>
      <c r="AG41" s="27" t="s">
        <v>76</v>
      </c>
      <c r="AH41" s="27" t="s">
        <v>76</v>
      </c>
      <c r="AI41" s="27" t="s">
        <v>76</v>
      </c>
    </row>
    <row r="42" spans="18:35" x14ac:dyDescent="0.25">
      <c r="R42" s="101"/>
      <c r="S42" s="26">
        <v>5</v>
      </c>
      <c r="T42" s="27" t="s">
        <v>76</v>
      </c>
      <c r="U42" s="27" t="s">
        <v>76</v>
      </c>
      <c r="V42" s="27" t="s">
        <v>76</v>
      </c>
      <c r="W42" s="27" t="s">
        <v>76</v>
      </c>
      <c r="X42" s="27" t="s">
        <v>76</v>
      </c>
      <c r="Y42" s="27" t="s">
        <v>76</v>
      </c>
      <c r="Z42" s="27" t="s">
        <v>76</v>
      </c>
      <c r="AB42" s="26">
        <v>5</v>
      </c>
      <c r="AC42" s="27" t="s">
        <v>76</v>
      </c>
      <c r="AD42" s="27" t="s">
        <v>76</v>
      </c>
      <c r="AE42" s="27" t="s">
        <v>76</v>
      </c>
      <c r="AF42" s="27" t="s">
        <v>76</v>
      </c>
      <c r="AG42" s="27" t="s">
        <v>76</v>
      </c>
      <c r="AH42" s="27" t="s">
        <v>76</v>
      </c>
      <c r="AI42" s="27" t="s">
        <v>76</v>
      </c>
    </row>
    <row r="43" spans="18:35" x14ac:dyDescent="0.25">
      <c r="R43" s="101"/>
      <c r="S43" s="26">
        <v>4</v>
      </c>
      <c r="T43" s="27" t="s">
        <v>76</v>
      </c>
      <c r="U43" s="27" t="s">
        <v>76</v>
      </c>
      <c r="V43" s="27" t="s">
        <v>76</v>
      </c>
      <c r="W43" s="27" t="s">
        <v>76</v>
      </c>
      <c r="X43" s="27" t="s">
        <v>76</v>
      </c>
      <c r="Y43" s="27" t="s">
        <v>76</v>
      </c>
      <c r="Z43" s="27" t="s">
        <v>76</v>
      </c>
      <c r="AB43" s="26">
        <v>4</v>
      </c>
      <c r="AC43" s="27" t="s">
        <v>76</v>
      </c>
      <c r="AD43" s="27" t="s">
        <v>76</v>
      </c>
      <c r="AE43" s="27" t="s">
        <v>76</v>
      </c>
      <c r="AF43" s="27" t="s">
        <v>76</v>
      </c>
      <c r="AG43" s="27" t="s">
        <v>76</v>
      </c>
      <c r="AH43" s="27" t="s">
        <v>76</v>
      </c>
      <c r="AI43" s="27" t="s">
        <v>76</v>
      </c>
    </row>
    <row r="44" spans="18:35" x14ac:dyDescent="0.25">
      <c r="R44" s="101"/>
      <c r="S44" s="26">
        <v>3</v>
      </c>
      <c r="T44" s="27" t="s">
        <v>76</v>
      </c>
      <c r="U44" s="27" t="s">
        <v>76</v>
      </c>
      <c r="V44" s="27">
        <v>1</v>
      </c>
      <c r="W44" s="27" t="s">
        <v>76</v>
      </c>
      <c r="X44" s="27" t="s">
        <v>76</v>
      </c>
      <c r="Y44" s="27" t="s">
        <v>76</v>
      </c>
      <c r="Z44" s="27" t="s">
        <v>76</v>
      </c>
      <c r="AB44" s="26">
        <v>3</v>
      </c>
      <c r="AC44" s="27" t="s">
        <v>76</v>
      </c>
      <c r="AD44" s="27" t="s">
        <v>76</v>
      </c>
      <c r="AE44" s="27">
        <v>1</v>
      </c>
      <c r="AF44" s="27" t="s">
        <v>76</v>
      </c>
      <c r="AG44" s="27" t="s">
        <v>76</v>
      </c>
      <c r="AH44" s="27" t="s">
        <v>76</v>
      </c>
      <c r="AI44" s="27" t="s">
        <v>76</v>
      </c>
    </row>
    <row r="45" spans="18:35" x14ac:dyDescent="0.25">
      <c r="R45" s="101"/>
      <c r="S45" s="26">
        <v>2</v>
      </c>
      <c r="T45" s="27" t="s">
        <v>76</v>
      </c>
      <c r="U45" s="27" t="s">
        <v>76</v>
      </c>
      <c r="V45" s="27" t="s">
        <v>76</v>
      </c>
      <c r="W45" s="27" t="s">
        <v>76</v>
      </c>
      <c r="X45" s="27" t="s">
        <v>76</v>
      </c>
      <c r="Y45" s="27" t="s">
        <v>76</v>
      </c>
      <c r="Z45" s="27" t="s">
        <v>76</v>
      </c>
      <c r="AB45" s="26">
        <v>2</v>
      </c>
      <c r="AC45" s="27" t="s">
        <v>76</v>
      </c>
      <c r="AD45" s="27" t="s">
        <v>76</v>
      </c>
      <c r="AE45" s="27" t="s">
        <v>76</v>
      </c>
      <c r="AF45" s="27" t="s">
        <v>76</v>
      </c>
      <c r="AG45" s="27" t="s">
        <v>76</v>
      </c>
      <c r="AH45" s="27" t="s">
        <v>76</v>
      </c>
      <c r="AI45" s="27" t="s">
        <v>76</v>
      </c>
    </row>
    <row r="46" spans="18:35" x14ac:dyDescent="0.25">
      <c r="R46" s="101"/>
      <c r="S46" s="26">
        <v>1</v>
      </c>
      <c r="T46" s="27" t="s">
        <v>76</v>
      </c>
      <c r="U46" s="27" t="s">
        <v>76</v>
      </c>
      <c r="V46" s="27" t="s">
        <v>76</v>
      </c>
      <c r="W46" s="27" t="s">
        <v>76</v>
      </c>
      <c r="X46" s="27" t="s">
        <v>76</v>
      </c>
      <c r="Y46" s="27" t="s">
        <v>76</v>
      </c>
      <c r="Z46" s="27" t="s">
        <v>76</v>
      </c>
      <c r="AB46" s="26">
        <v>1</v>
      </c>
      <c r="AC46" s="27" t="s">
        <v>76</v>
      </c>
      <c r="AD46" s="27" t="s">
        <v>76</v>
      </c>
      <c r="AE46" s="27" t="s">
        <v>76</v>
      </c>
      <c r="AF46" s="27" t="s">
        <v>76</v>
      </c>
      <c r="AG46" s="27" t="s">
        <v>76</v>
      </c>
      <c r="AH46" s="27" t="s">
        <v>76</v>
      </c>
      <c r="AI46" s="27" t="s">
        <v>76</v>
      </c>
    </row>
    <row r="47" spans="18:35" x14ac:dyDescent="0.25">
      <c r="T47" s="28">
        <v>1</v>
      </c>
      <c r="U47" s="28">
        <v>2</v>
      </c>
      <c r="V47" s="28">
        <v>3</v>
      </c>
      <c r="W47" s="28">
        <v>4</v>
      </c>
      <c r="X47" s="28">
        <v>5</v>
      </c>
      <c r="Y47" s="28">
        <v>6</v>
      </c>
      <c r="Z47" s="28">
        <v>7</v>
      </c>
      <c r="AC47" s="28">
        <v>1</v>
      </c>
      <c r="AD47" s="28">
        <v>2</v>
      </c>
      <c r="AE47" s="28">
        <v>3</v>
      </c>
      <c r="AF47" s="28">
        <v>4</v>
      </c>
      <c r="AG47" s="28">
        <v>5</v>
      </c>
      <c r="AH47" s="28">
        <v>6</v>
      </c>
      <c r="AI47" s="28">
        <v>7</v>
      </c>
    </row>
    <row r="48" spans="18:35" x14ac:dyDescent="0.25">
      <c r="T48" s="98" t="s">
        <v>48</v>
      </c>
      <c r="U48" s="98"/>
      <c r="V48" s="98"/>
      <c r="W48" s="98"/>
      <c r="X48" s="98"/>
      <c r="Y48" s="98"/>
      <c r="Z48" s="98"/>
      <c r="AC48" s="98" t="s">
        <v>48</v>
      </c>
      <c r="AD48" s="98"/>
      <c r="AE48" s="98"/>
      <c r="AF48" s="98"/>
      <c r="AG48" s="98"/>
      <c r="AH48" s="98"/>
      <c r="AI48" s="98"/>
    </row>
  </sheetData>
  <sheetProtection algorithmName="SHA-512" hashValue="4fU3AG0A2GcZPrVjFaRkkdsYcdWwVOKXKKeoFY0LsOIkst3lLYSwfpjImFuuT1PdvjHrdJVVXQry+mqWPZlveg==" saltValue="63F13YFsr+2x789l2ORHJQ==" spinCount="100000" sheet="1" objects="1" scenarios="1"/>
  <sortState ref="A2:I28">
    <sortCondition ref="A2"/>
  </sortState>
  <mergeCells count="23"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Page</vt:lpstr>
      <vt:lpstr>Analysis</vt:lpstr>
      <vt:lpstr>Data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2017-01-13T22:27:52Z</dcterms:modified>
</cp:coreProperties>
</file>